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8" yWindow="65524" windowWidth="12936" windowHeight="1255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<sst xmlns="http://schemas.openxmlformats.org/spreadsheetml/2006/main" count="167" uniqueCount="113">
  <si>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</si>
  <si>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</si>
  <si>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</si>
  <si>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</si>
  <si>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</si>
  <si>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</si>
  <si>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</si>
  <si>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</si>
  <si>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</si>
  <si>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</si>
  <si>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</si>
  <si>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</si>
  <si>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</si>
  <si>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</si>
  <si>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</si>
  <si>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</si>
  <si>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</si>
  <si>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</si>
  <si>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</si>
  <si>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</si>
  <si>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</si>
  <si>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</si>
  <si>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</si>
  <si>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</si>
  <si>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</si>
  <si>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</si>
  <si>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</si>
  <si>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</si>
  <si>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</si>
  <si>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</si>
  <si>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</si>
  <si>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</si>
  <si>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</si>
  <si>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</si>
  <si>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</si>
  <si>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</si>
  <si>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</si>
  <si>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</si>
  <si>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</si>
  <si>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</si>
  <si>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</si>
  <si>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</si>
  <si>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</si>
  <si>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</si>
  <si>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</si>
  <si>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</si>
  <si>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</si>
  <si>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</si>
  <si>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</si>
  <si>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</si>
  <si>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</si>
  <si>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</si>
  <si>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</si>
  <si>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</si>
  <si>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</si>
  <si>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</si>
  <si>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</si>
  <si>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</si>
  <si>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</si>
  <si>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</si>
  <si>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</si>
  <si>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</si>
  <si>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</si>
  <si>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</si>
  <si>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</si>
  <si>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</si>
  <si>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</si>
  <si>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</si>
  <si>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</si>
  <si>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</si>
  <si>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</si>
  <si>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</si>
  <si>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</si>
  <si>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</si>
  <si>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</si>
  <si>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</si>
  <si>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</si>
  <si>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</si>
  <si>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</si>
  <si>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</si>
  <si>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</si>
  <si>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</si>
  <si>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</si>
  <si>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</si>
  <si>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</si>
  <si>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</si>
  <si>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</si>
  <si>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</si>
  <si>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</si>
  <si>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</si>
  <si>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</si>
  <si>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</si>
  <si>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</si>
  <si>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</si>
  <si>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</si>
  <si>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</si>
  <si>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</si>
  <si>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</si>
  <si>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</si>
  <si>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</si>
  <si>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</si>
  <si>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</si>
  <si>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</si>
  <si>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</si>
  <si>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</si>
  <si>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</si>
  <si>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</si>
  <si>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</si>
  <si>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План на 3 місяці тис.грн.</t>
  </si>
  <si>
    <t>Відсоток виконання  плану 3 місяців</t>
  </si>
  <si>
    <t>Відхилення від  плану 3 місяців, тис.грн.</t>
  </si>
  <si>
    <t>Обслуговування цінних паперів</t>
  </si>
  <si>
    <t>Аналіз використання коштів загального фонду міського бюджету станом на 22.03.2019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</si>
</sst>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1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4" fillId="24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1" fillId="25" borderId="0" xfId="0" applyFont="1" applyFill="1" applyAlignment="1">
      <alignment/>
    </xf>
    <xf numFmtId="0" fontId="5" fillId="25" borderId="14" xfId="0" applyFont="1" applyFill="1" applyBorder="1" applyAlignment="1">
      <alignment wrapText="1"/>
    </xf>
    <xf numFmtId="190" fontId="4" fillId="25" borderId="17" xfId="0" applyNumberFormat="1" applyFont="1" applyFill="1" applyBorder="1" applyAlignment="1">
      <alignment/>
    </xf>
    <xf numFmtId="189" fontId="4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0" xfId="0" applyNumberFormat="1" applyFont="1" applyFill="1" applyAlignment="1">
      <alignment/>
    </xf>
    <xf numFmtId="0" fontId="3" fillId="25" borderId="12" xfId="0" applyFont="1" applyFill="1" applyBorder="1" applyAlignment="1">
      <alignment wrapText="1"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190" fontId="3" fillId="25" borderId="17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190" fontId="5" fillId="25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189" fontId="5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5" fillId="25" borderId="12" xfId="0" applyFont="1" applyFill="1" applyBorder="1" applyAlignment="1">
      <alignment wrapText="1"/>
    </xf>
    <xf numFmtId="190" fontId="3" fillId="25" borderId="14" xfId="0" applyNumberFormat="1" applyFont="1" applyFill="1" applyBorder="1" applyAlignment="1">
      <alignment wrapText="1"/>
    </xf>
    <xf numFmtId="190" fontId="3" fillId="25" borderId="14" xfId="0" applyNumberFormat="1" applyFont="1" applyFill="1" applyBorder="1" applyAlignment="1">
      <alignment/>
    </xf>
    <xf numFmtId="189" fontId="3" fillId="25" borderId="14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wrapText="1"/>
    </xf>
    <xf numFmtId="190" fontId="3" fillId="25" borderId="16" xfId="0" applyNumberFormat="1" applyFont="1" applyFill="1" applyBorder="1" applyAlignment="1">
      <alignment wrapText="1"/>
    </xf>
    <xf numFmtId="189" fontId="3" fillId="25" borderId="16" xfId="0" applyNumberFormat="1" applyFont="1" applyFill="1" applyBorder="1" applyAlignment="1">
      <alignment/>
    </xf>
    <xf numFmtId="190" fontId="3" fillId="25" borderId="16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0" fontId="3" fillId="25" borderId="22" xfId="0" applyFont="1" applyFill="1" applyBorder="1" applyAlignment="1">
      <alignment wrapText="1"/>
    </xf>
    <xf numFmtId="190" fontId="3" fillId="25" borderId="22" xfId="0" applyNumberFormat="1" applyFont="1" applyFill="1" applyBorder="1" applyAlignment="1">
      <alignment wrapText="1"/>
    </xf>
    <xf numFmtId="190" fontId="3" fillId="25" borderId="23" xfId="0" applyNumberFormat="1" applyFont="1" applyFill="1" applyBorder="1" applyAlignment="1">
      <alignment horizontal="right"/>
    </xf>
    <xf numFmtId="190" fontId="3" fillId="25" borderId="24" xfId="0" applyNumberFormat="1" applyFont="1" applyFill="1" applyBorder="1" applyAlignment="1">
      <alignment/>
    </xf>
    <xf numFmtId="189" fontId="3" fillId="25" borderId="22" xfId="0" applyNumberFormat="1" applyFont="1" applyFill="1" applyBorder="1" applyAlignment="1">
      <alignment/>
    </xf>
    <xf numFmtId="189" fontId="3" fillId="25" borderId="25" xfId="0" applyNumberFormat="1" applyFont="1" applyFill="1" applyBorder="1" applyAlignment="1">
      <alignment/>
    </xf>
    <xf numFmtId="189" fontId="3" fillId="25" borderId="23" xfId="0" applyNumberFormat="1" applyFont="1" applyFill="1" applyBorder="1" applyAlignment="1">
      <alignment/>
    </xf>
    <xf numFmtId="190" fontId="3" fillId="25" borderId="26" xfId="0" applyNumberFormat="1" applyFont="1" applyFill="1" applyBorder="1" applyAlignment="1">
      <alignment/>
    </xf>
    <xf numFmtId="190" fontId="5" fillId="25" borderId="12" xfId="0" applyNumberFormat="1" applyFont="1" applyFill="1" applyBorder="1" applyAlignment="1">
      <alignment wrapText="1"/>
    </xf>
    <xf numFmtId="190" fontId="5" fillId="25" borderId="12" xfId="0" applyNumberFormat="1" applyFont="1" applyFill="1" applyBorder="1" applyAlignment="1">
      <alignment/>
    </xf>
    <xf numFmtId="0" fontId="12" fillId="25" borderId="12" xfId="0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/>
    </xf>
    <xf numFmtId="190" fontId="12" fillId="25" borderId="10" xfId="0" applyNumberFormat="1" applyFont="1" applyFill="1" applyBorder="1" applyAlignment="1">
      <alignment/>
    </xf>
    <xf numFmtId="189" fontId="12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 horizontal="right"/>
    </xf>
    <xf numFmtId="190" fontId="3" fillId="25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25" borderId="14" xfId="0" applyNumberFormat="1" applyFont="1" applyFill="1" applyBorder="1" applyAlignment="1">
      <alignment/>
    </xf>
    <xf numFmtId="190" fontId="3" fillId="26" borderId="10" xfId="0" applyNumberFormat="1" applyFont="1" applyFill="1" applyBorder="1" applyAlignment="1">
      <alignment wrapText="1"/>
    </xf>
    <xf numFmtId="190" fontId="5" fillId="26" borderId="10" xfId="0" applyNumberFormat="1" applyFont="1" applyFill="1" applyBorder="1" applyAlignment="1">
      <alignment wrapText="1"/>
    </xf>
    <xf numFmtId="190" fontId="5" fillId="25" borderId="10" xfId="0" applyNumberFormat="1" applyFont="1" applyFill="1" applyBorder="1" applyAlignment="1">
      <alignment wrapText="1"/>
    </xf>
    <xf numFmtId="190" fontId="5" fillId="25" borderId="16" xfId="0" applyNumberFormat="1" applyFont="1" applyFill="1" applyBorder="1" applyAlignment="1">
      <alignment/>
    </xf>
    <xf numFmtId="0" fontId="9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0" fillId="2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25" borderId="12" xfId="0" applyNumberFormat="1" applyFont="1" applyFill="1" applyBorder="1" applyAlignment="1">
      <alignment/>
    </xf>
    <xf numFmtId="190" fontId="5" fillId="25" borderId="14" xfId="0" applyNumberFormat="1" applyFont="1" applyFill="1" applyBorder="1" applyAlignment="1">
      <alignment wrapText="1"/>
    </xf>
    <xf numFmtId="190" fontId="4" fillId="25" borderId="13" xfId="0" applyNumberFormat="1" applyFont="1" applyFill="1" applyBorder="1" applyAlignment="1">
      <alignment vertical="center" wrapText="1"/>
    </xf>
    <xf numFmtId="190" fontId="4" fillId="25" borderId="13" xfId="0" applyNumberFormat="1" applyFont="1" applyFill="1" applyBorder="1" applyAlignment="1">
      <alignment/>
    </xf>
    <xf numFmtId="190" fontId="4" fillId="25" borderId="11" xfId="0" applyNumberFormat="1" applyFont="1" applyFill="1" applyBorder="1" applyAlignment="1">
      <alignment/>
    </xf>
    <xf numFmtId="189" fontId="4" fillId="25" borderId="11" xfId="0" applyNumberFormat="1" applyFont="1" applyFill="1" applyBorder="1" applyAlignment="1">
      <alignment/>
    </xf>
    <xf numFmtId="0" fontId="3" fillId="25" borderId="13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55"/>
          <c:w val="0.85325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фінансування'!$C$91:$C$95</c:f>
              <c:numCache>
                <c:ptCount val="4"/>
                <c:pt idx="0">
                  <c:v>208452.8</c:v>
                </c:pt>
                <c:pt idx="1">
                  <c:v>195523.2</c:v>
                </c:pt>
                <c:pt idx="2">
                  <c:v>2704.7</c:v>
                </c:pt>
                <c:pt idx="3">
                  <c:v>10224.899999999976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фінансування'!$D$91:$D$95</c:f>
              <c:numCache>
                <c:ptCount val="4"/>
                <c:pt idx="0">
                  <c:v>41158.700000000004</c:v>
                </c:pt>
                <c:pt idx="1">
                  <c:v>39161.89999999999</c:v>
                </c:pt>
                <c:pt idx="2">
                  <c:v>688.7</c:v>
                </c:pt>
                <c:pt idx="3">
                  <c:v>1308.1000000000174</c:v>
                </c:pt>
              </c:numCache>
            </c:numRef>
          </c:val>
          <c:shape val="box"/>
        </c:ser>
        <c:shape val="box"/>
        <c:axId val="19907621"/>
        <c:axId val="44950862"/>
      </c:bar3DChart>
      <c:catAx>
        <c:axId val="1990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50862"/>
        <c:crosses val="autoZero"/>
        <c:auto val="1"/>
        <c:lblOffset val="100"/>
        <c:tickLblSkip val="1"/>
        <c:noMultiLvlLbl val="0"/>
      </c:catAx>
      <c:valAx>
        <c:axId val="44950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07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125"/>
          <c:w val="0.8435"/>
          <c:h val="0.70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914020.2</c:v>
                </c:pt>
                <c:pt idx="1">
                  <c:v>298959.4</c:v>
                </c:pt>
                <c:pt idx="2">
                  <c:v>726687.6</c:v>
                </c:pt>
                <c:pt idx="3">
                  <c:v>104.9</c:v>
                </c:pt>
                <c:pt idx="4">
                  <c:v>43439.8</c:v>
                </c:pt>
                <c:pt idx="5">
                  <c:v>98224.3</c:v>
                </c:pt>
                <c:pt idx="6">
                  <c:v>13016.5</c:v>
                </c:pt>
                <c:pt idx="7">
                  <c:v>32547.099999999962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180418.60000000003</c:v>
                </c:pt>
                <c:pt idx="1">
                  <c:v>44441.5</c:v>
                </c:pt>
                <c:pt idx="2">
                  <c:v>136683.4</c:v>
                </c:pt>
                <c:pt idx="3">
                  <c:v>17.5</c:v>
                </c:pt>
                <c:pt idx="4">
                  <c:v>9057.4</c:v>
                </c:pt>
                <c:pt idx="5">
                  <c:v>29863.499999999996</c:v>
                </c:pt>
                <c:pt idx="6">
                  <c:v>2444.7</c:v>
                </c:pt>
                <c:pt idx="7">
                  <c:v>2352.100000000043</c:v>
                </c:pt>
              </c:numCache>
            </c:numRef>
          </c:val>
          <c:shape val="box"/>
        </c:ser>
        <c:shape val="box"/>
        <c:axId val="1904575"/>
        <c:axId val="17141176"/>
      </c:bar3DChart>
      <c:catAx>
        <c:axId val="190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41176"/>
        <c:crosses val="autoZero"/>
        <c:auto val="1"/>
        <c:lblOffset val="100"/>
        <c:tickLblSkip val="1"/>
        <c:noMultiLvlLbl val="0"/>
      </c:catAx>
      <c:valAx>
        <c:axId val="17141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225"/>
          <c:w val="0.9295"/>
          <c:h val="0.65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417092.10000000003</c:v>
                </c:pt>
                <c:pt idx="1">
                  <c:v>204458.2</c:v>
                </c:pt>
                <c:pt idx="2">
                  <c:v>999.4</c:v>
                </c:pt>
                <c:pt idx="3">
                  <c:v>416092.7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74875.8</c:v>
                </c:pt>
                <c:pt idx="1">
                  <c:v>45767.2</c:v>
                </c:pt>
                <c:pt idx="3">
                  <c:v>74875.8</c:v>
                </c:pt>
              </c:numCache>
            </c:numRef>
          </c:val>
          <c:shape val="box"/>
        </c:ser>
        <c:shape val="box"/>
        <c:axId val="20052857"/>
        <c:axId val="46257986"/>
      </c:bar3DChart>
      <c:catAx>
        <c:axId val="2005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57986"/>
        <c:crosses val="autoZero"/>
        <c:auto val="1"/>
        <c:lblOffset val="100"/>
        <c:tickLblSkip val="1"/>
        <c:noMultiLvlLbl val="0"/>
      </c:catAx>
      <c:valAx>
        <c:axId val="46257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52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26954.8</c:v>
                </c:pt>
                <c:pt idx="1">
                  <c:v>14255.8</c:v>
                </c:pt>
                <c:pt idx="2">
                  <c:v>87.1</c:v>
                </c:pt>
                <c:pt idx="3">
                  <c:v>2087.8</c:v>
                </c:pt>
                <c:pt idx="4">
                  <c:v>1082.6</c:v>
                </c:pt>
                <c:pt idx="5">
                  <c:v>230.6</c:v>
                </c:pt>
                <c:pt idx="6">
                  <c:v>9210.9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4707.900000000001</c:v>
                </c:pt>
                <c:pt idx="1">
                  <c:v>2521.9</c:v>
                </c:pt>
                <c:pt idx="2">
                  <c:v>19.5</c:v>
                </c:pt>
                <c:pt idx="3">
                  <c:v>373.30000000000007</c:v>
                </c:pt>
                <c:pt idx="4">
                  <c:v>69.3</c:v>
                </c:pt>
                <c:pt idx="5">
                  <c:v>5.1</c:v>
                </c:pt>
                <c:pt idx="6">
                  <c:v>1718.8000000000004</c:v>
                </c:pt>
              </c:numCache>
            </c:numRef>
          </c:val>
          <c:shape val="box"/>
        </c:ser>
        <c:shape val="box"/>
        <c:axId val="13668691"/>
        <c:axId val="55909356"/>
      </c:bar3DChart>
      <c:catAx>
        <c:axId val="1366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09356"/>
        <c:crosses val="autoZero"/>
        <c:auto val="1"/>
        <c:lblOffset val="100"/>
        <c:tickLblSkip val="1"/>
        <c:noMultiLvlLbl val="0"/>
      </c:catAx>
      <c:valAx>
        <c:axId val="55909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6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05"/>
          <c:w val="0.863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фінансування'!$C$52:$C$58</c:f>
              <c:numCache>
                <c:ptCount val="7"/>
                <c:pt idx="0">
                  <c:v>54626.8</c:v>
                </c:pt>
                <c:pt idx="1">
                  <c:v>25959.9</c:v>
                </c:pt>
                <c:pt idx="2">
                  <c:v>16.4</c:v>
                </c:pt>
                <c:pt idx="3">
                  <c:v>4332.1</c:v>
                </c:pt>
                <c:pt idx="4">
                  <c:v>1406.6</c:v>
                </c:pt>
                <c:pt idx="5">
                  <c:v>4640</c:v>
                </c:pt>
                <c:pt idx="6">
                  <c:v>18271.800000000003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фінансування'!$D$52:$D$58</c:f>
              <c:numCache>
                <c:ptCount val="7"/>
                <c:pt idx="0">
                  <c:v>6733.199999999999</c:v>
                </c:pt>
                <c:pt idx="1">
                  <c:v>4624.599999999999</c:v>
                </c:pt>
                <c:pt idx="3">
                  <c:v>159.99999999999997</c:v>
                </c:pt>
                <c:pt idx="4">
                  <c:v>120.30000000000001</c:v>
                </c:pt>
                <c:pt idx="5">
                  <c:v>227</c:v>
                </c:pt>
                <c:pt idx="6">
                  <c:v>1601.2999999999995</c:v>
                </c:pt>
              </c:numCache>
            </c:numRef>
          </c:val>
          <c:shape val="box"/>
        </c:ser>
        <c:shape val="box"/>
        <c:axId val="33422157"/>
        <c:axId val="32363958"/>
      </c:bar3DChart>
      <c:catAx>
        <c:axId val="33422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63958"/>
        <c:crosses val="autoZero"/>
        <c:auto val="1"/>
        <c:lblOffset val="100"/>
        <c:tickLblSkip val="2"/>
        <c:noMultiLvlLbl val="0"/>
      </c:catAx>
      <c:valAx>
        <c:axId val="32363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22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22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125"/>
          <c:w val="0.8775"/>
          <c:h val="0.68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фінансування'!$C$60:$C$65</c:f>
              <c:numCache>
                <c:ptCount val="6"/>
                <c:pt idx="0">
                  <c:v>10268.5</c:v>
                </c:pt>
                <c:pt idx="1">
                  <c:v>3626.9</c:v>
                </c:pt>
                <c:pt idx="2">
                  <c:v>420</c:v>
                </c:pt>
                <c:pt idx="3">
                  <c:v>475.3</c:v>
                </c:pt>
                <c:pt idx="4">
                  <c:v>4848.7</c:v>
                </c:pt>
                <c:pt idx="5">
                  <c:v>897.6000000000004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фінансування'!$D$60:$D$65</c:f>
              <c:numCache>
                <c:ptCount val="6"/>
                <c:pt idx="0">
                  <c:v>830</c:v>
                </c:pt>
                <c:pt idx="1">
                  <c:v>644.4000000000001</c:v>
                </c:pt>
                <c:pt idx="3">
                  <c:v>172.3</c:v>
                </c:pt>
                <c:pt idx="5">
                  <c:v>13.299999999999898</c:v>
                </c:pt>
              </c:numCache>
            </c:numRef>
          </c:val>
          <c:shape val="box"/>
        </c:ser>
        <c:shape val="box"/>
        <c:axId val="22840167"/>
        <c:axId val="4234912"/>
      </c:bar3DChart>
      <c:catAx>
        <c:axId val="22840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4912"/>
        <c:crosses val="autoZero"/>
        <c:auto val="1"/>
        <c:lblOffset val="100"/>
        <c:tickLblSkip val="1"/>
        <c:noMultiLvlLbl val="0"/>
      </c:catAx>
      <c:valAx>
        <c:axId val="4234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0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15"/>
          <c:w val="0.85275"/>
          <c:h val="0.71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фінансування'!$C$96</c:f>
              <c:numCache>
                <c:ptCount val="1"/>
                <c:pt idx="0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фінансування'!$D$96</c:f>
              <c:numCache>
                <c:ptCount val="1"/>
                <c:pt idx="0">
                  <c:v>9870</c:v>
                </c:pt>
              </c:numCache>
            </c:numRef>
          </c:val>
          <c:shape val="box"/>
        </c:ser>
        <c:shape val="box"/>
        <c:axId val="38114209"/>
        <c:axId val="7483562"/>
      </c:bar3DChart>
      <c:catAx>
        <c:axId val="3811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483562"/>
        <c:crosses val="autoZero"/>
        <c:auto val="1"/>
        <c:lblOffset val="100"/>
        <c:tickLblSkip val="1"/>
        <c:noMultiLvlLbl val="0"/>
      </c:catAx>
      <c:valAx>
        <c:axId val="7483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14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15"/>
          <c:w val="0.85125"/>
          <c:h val="0.57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фінансування'!$C$52,'аналіз фінансування'!$C$60,'аналіз фінансування'!$C$91,'аналіз фінансування'!$C$96)</c:f>
              <c:numCache>
                <c:ptCount val="7"/>
                <c:pt idx="0">
                  <c:v>914020.2</c:v>
                </c:pt>
                <c:pt idx="1">
                  <c:v>417092.10000000003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208452.8</c:v>
                </c:pt>
                <c:pt idx="6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фінансування'!$D$52,'аналіз фінансування'!$D$60,'аналіз фінансування'!$D$91,'аналіз фінансування'!$D$96)</c:f>
              <c:numCache>
                <c:ptCount val="7"/>
                <c:pt idx="0">
                  <c:v>180418.60000000003</c:v>
                </c:pt>
                <c:pt idx="1">
                  <c:v>74875.8</c:v>
                </c:pt>
                <c:pt idx="2">
                  <c:v>4707.900000000001</c:v>
                </c:pt>
                <c:pt idx="3">
                  <c:v>6733.199999999999</c:v>
                </c:pt>
                <c:pt idx="4">
                  <c:v>830</c:v>
                </c:pt>
                <c:pt idx="5">
                  <c:v>41158.700000000004</c:v>
                </c:pt>
                <c:pt idx="6">
                  <c:v>9870</c:v>
                </c:pt>
              </c:numCache>
            </c:numRef>
          </c:val>
          <c:shape val="box"/>
        </c:ser>
        <c:shape val="box"/>
        <c:axId val="243195"/>
        <c:axId val="2188756"/>
      </c:bar3DChart>
      <c:catAx>
        <c:axId val="24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8756"/>
        <c:crosses val="autoZero"/>
        <c:auto val="1"/>
        <c:lblOffset val="100"/>
        <c:tickLblSkip val="1"/>
        <c:noMultiLvlLbl val="0"/>
      </c:catAx>
      <c:valAx>
        <c:axId val="2188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02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75"/>
          <c:w val="0.8415"/>
          <c:h val="0.474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фінансування'!$C$156:$C$161</c:f>
              <c:numCache>
                <c:ptCount val="6"/>
                <c:pt idx="0">
                  <c:v>984460.0000000001</c:v>
                </c:pt>
                <c:pt idx="1">
                  <c:v>125178.8</c:v>
                </c:pt>
                <c:pt idx="2">
                  <c:v>48385.3</c:v>
                </c:pt>
                <c:pt idx="3">
                  <c:v>90012.5</c:v>
                </c:pt>
                <c:pt idx="4">
                  <c:v>122.9</c:v>
                </c:pt>
                <c:pt idx="5">
                  <c:v>1237318.5000000005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фінансування'!$D$156:$D$161</c:f>
              <c:numCache>
                <c:ptCount val="6"/>
                <c:pt idx="0">
                  <c:v>186694.4</c:v>
                </c:pt>
                <c:pt idx="1">
                  <c:v>35386.5</c:v>
                </c:pt>
                <c:pt idx="2">
                  <c:v>9255.699999999999</c:v>
                </c:pt>
                <c:pt idx="3">
                  <c:v>12823.400000000001</c:v>
                </c:pt>
                <c:pt idx="4">
                  <c:v>17.5</c:v>
                </c:pt>
                <c:pt idx="5">
                  <c:v>189347.49999999994</c:v>
                </c:pt>
              </c:numCache>
            </c:numRef>
          </c:val>
          <c:shape val="box"/>
        </c:ser>
        <c:shape val="box"/>
        <c:axId val="19698805"/>
        <c:axId val="43071518"/>
      </c:bar3DChart>
      <c:catAx>
        <c:axId val="1969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71518"/>
        <c:crosses val="autoZero"/>
        <c:auto val="1"/>
        <c:lblOffset val="100"/>
        <c:tickLblSkip val="1"/>
        <c:noMultiLvlLbl val="0"/>
      </c:catAx>
      <c:valAx>
        <c:axId val="43071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98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70" zoomScaleNormal="80" zoomScaleSheetLayoutView="70" workbookViewId="0" topLeftCell="A123">
      <selection activeCell="D153" sqref="D153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50390625" style="134" customWidth="1"/>
    <col min="4" max="4" width="19.00390625" style="134" customWidth="1"/>
    <col min="5" max="5" width="17.375" style="134" customWidth="1"/>
    <col min="6" max="7" width="19.50390625" style="134" customWidth="1"/>
    <col min="8" max="8" width="19.625" style="134" customWidth="1"/>
    <col min="9" max="9" width="21.00390625" style="134" customWidth="1"/>
    <col min="10" max="10" width="9.125" style="134" customWidth="1"/>
    <col min="11" max="11" width="15.50390625" style="134" customWidth="1"/>
    <col min="12" max="12" width="9.125" style="134" customWidth="1"/>
    <col min="13" max="13" width="11.50390625" style="134" bestFit="1" customWidth="1"/>
    <col min="14" max="16384" width="9.125" style="134" customWidth="1"/>
  </cols>
  <sheetData>
    <row r="1" spans="1:9" ht="30">
      <c r="A1" s="156" t="s">
        <v>112</v>
      </c>
      <c r="B1" s="156"/>
      <c r="C1" s="156"/>
      <c r="D1" s="156"/>
      <c r="E1" s="156"/>
      <c r="F1" s="156"/>
      <c r="G1" s="156"/>
      <c r="H1" s="156"/>
      <c r="I1" s="15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0" t="s">
        <v>38</v>
      </c>
      <c r="B3" s="163" t="s">
        <v>108</v>
      </c>
      <c r="C3" s="157" t="s">
        <v>103</v>
      </c>
      <c r="D3" s="157" t="s">
        <v>20</v>
      </c>
      <c r="E3" s="157" t="s">
        <v>19</v>
      </c>
      <c r="F3" s="157" t="s">
        <v>109</v>
      </c>
      <c r="G3" s="157" t="s">
        <v>105</v>
      </c>
      <c r="H3" s="157" t="s">
        <v>110</v>
      </c>
      <c r="I3" s="157" t="s">
        <v>104</v>
      </c>
    </row>
    <row r="4" spans="1:9" ht="24.75" customHeight="1">
      <c r="A4" s="161"/>
      <c r="B4" s="164"/>
      <c r="C4" s="158"/>
      <c r="D4" s="158"/>
      <c r="E4" s="158"/>
      <c r="F4" s="158"/>
      <c r="G4" s="158"/>
      <c r="H4" s="158"/>
      <c r="I4" s="158"/>
    </row>
    <row r="5" spans="1:10" ht="39" customHeight="1" thickBot="1">
      <c r="A5" s="162"/>
      <c r="B5" s="165"/>
      <c r="C5" s="159"/>
      <c r="D5" s="159"/>
      <c r="E5" s="159"/>
      <c r="F5" s="159"/>
      <c r="G5" s="159"/>
      <c r="H5" s="159"/>
      <c r="I5" s="159"/>
      <c r="J5" s="142"/>
    </row>
    <row r="6" spans="1:12" ht="18" thickBot="1">
      <c r="A6" s="18" t="s">
        <v>24</v>
      </c>
      <c r="B6" s="34">
        <f>250643.9+3.2+21.3</f>
        <v>250668.4</v>
      </c>
      <c r="C6" s="35">
        <f>913995.7+3.2+21.3</f>
        <v>914020.2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</f>
        <v>184888.60000000003</v>
      </c>
      <c r="E6" s="3">
        <f>D6/D155*100</f>
        <v>41.88369072208855</v>
      </c>
      <c r="F6" s="3">
        <f>D6/B6*100</f>
        <v>73.75823996961725</v>
      </c>
      <c r="G6" s="3">
        <f aca="true" t="shared" si="0" ref="G6:G43">D6/C6*100</f>
        <v>20.22806498149604</v>
      </c>
      <c r="H6" s="36">
        <f>B6-D6</f>
        <v>65779.79999999996</v>
      </c>
      <c r="I6" s="36">
        <f aca="true" t="shared" si="1" ref="I6:I43">C6-D6</f>
        <v>729131.5999999999</v>
      </c>
      <c r="J6" s="142"/>
      <c r="L6" s="143">
        <f>H6-H7</f>
        <v>41159.29999999996</v>
      </c>
    </row>
    <row r="7" spans="1:9" s="84" customFormat="1" ht="18">
      <c r="A7" s="125" t="s">
        <v>79</v>
      </c>
      <c r="B7" s="126">
        <f>69058.8+3.2</f>
        <v>69062</v>
      </c>
      <c r="C7" s="127">
        <f>298956.2+3.2</f>
        <v>298959.4</v>
      </c>
      <c r="D7" s="128">
        <f>9623.1+1044.7+273.5+10510.2+12398.6+40.7+10550.7</f>
        <v>44441.5</v>
      </c>
      <c r="E7" s="129">
        <f>D7/D6*100</f>
        <v>24.036906548051093</v>
      </c>
      <c r="F7" s="129">
        <f>D7/B7*100</f>
        <v>64.35014914135125</v>
      </c>
      <c r="G7" s="129">
        <f>D7/C7*100</f>
        <v>14.865396438446155</v>
      </c>
      <c r="H7" s="128">
        <f>B7-D7</f>
        <v>24620.5</v>
      </c>
      <c r="I7" s="128">
        <f t="shared" si="1"/>
        <v>254517.90000000002</v>
      </c>
    </row>
    <row r="8" spans="1:9" s="142" customFormat="1" ht="17.25">
      <c r="A8" s="90" t="s">
        <v>3</v>
      </c>
      <c r="B8" s="112">
        <f>173692.9+0.1+3.2</f>
        <v>173696.2</v>
      </c>
      <c r="C8" s="113">
        <f>726684.4+3.2</f>
        <v>726687.6</v>
      </c>
      <c r="D8" s="92">
        <f>20722.3+1.9+16592.9+1044.7+15069.2+2403.3+273.5+14243.2+10510.2+12398.6+19789.8+60.7+23573.1</f>
        <v>136683.4</v>
      </c>
      <c r="E8" s="94">
        <f>D8/D6*100</f>
        <v>73.92743522315598</v>
      </c>
      <c r="F8" s="94">
        <f>D8/B8*100</f>
        <v>78.69107096182874</v>
      </c>
      <c r="G8" s="94">
        <f t="shared" si="0"/>
        <v>18.809100361696</v>
      </c>
      <c r="H8" s="92">
        <f>B8-D8</f>
        <v>37012.80000000002</v>
      </c>
      <c r="I8" s="92">
        <f t="shared" si="1"/>
        <v>590004.2</v>
      </c>
    </row>
    <row r="9" spans="1:9" s="142" customFormat="1" ht="17.25">
      <c r="A9" s="90" t="s">
        <v>2</v>
      </c>
      <c r="B9" s="112">
        <v>51.7</v>
      </c>
      <c r="C9" s="113">
        <v>104.9</v>
      </c>
      <c r="D9" s="92">
        <f>16.3+0.9+0.3</f>
        <v>17.5</v>
      </c>
      <c r="E9" s="114">
        <f>D9/D6*100</f>
        <v>0.009465159020080199</v>
      </c>
      <c r="F9" s="94">
        <f>D9/B9*100</f>
        <v>33.849129593810446</v>
      </c>
      <c r="G9" s="94">
        <f t="shared" si="0"/>
        <v>16.682554814108673</v>
      </c>
      <c r="H9" s="92">
        <f aca="true" t="shared" si="2" ref="H9:H43">B9-D9</f>
        <v>34.2</v>
      </c>
      <c r="I9" s="92">
        <f t="shared" si="1"/>
        <v>87.4</v>
      </c>
    </row>
    <row r="10" spans="1:9" s="142" customFormat="1" ht="17.25">
      <c r="A10" s="90" t="s">
        <v>1</v>
      </c>
      <c r="B10" s="112">
        <v>13750.3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</f>
        <v>10579.8</v>
      </c>
      <c r="E10" s="94">
        <f>D10/D6*100</f>
        <v>5.722256537179684</v>
      </c>
      <c r="F10" s="94">
        <f aca="true" t="shared" si="3" ref="F10:F41">D10/B10*100</f>
        <v>76.94232125844526</v>
      </c>
      <c r="G10" s="94">
        <f t="shared" si="0"/>
        <v>24.355084507755556</v>
      </c>
      <c r="H10" s="92">
        <f t="shared" si="2"/>
        <v>3170.5</v>
      </c>
      <c r="I10" s="92">
        <f t="shared" si="1"/>
        <v>32860</v>
      </c>
    </row>
    <row r="11" spans="1:9" s="142" customFormat="1" ht="17.25">
      <c r="A11" s="90" t="s">
        <v>0</v>
      </c>
      <c r="B11" s="112">
        <v>51702.6</v>
      </c>
      <c r="C11" s="113">
        <v>98224.3</v>
      </c>
      <c r="D11" s="131">
        <f>39.4+1482.5+161.1+446.7+223.7+143.2+2067.6+42+0.7+3077.2+2292.1+4098.5+884.8+1.1+688.8+1267.7+920.8+531.8+2870.4+2522+1076.6+267.2+3290.1+1467.5+255.7+697.1+813.5</f>
        <v>31629.799999999996</v>
      </c>
      <c r="E11" s="94">
        <f>D11/D6*100</f>
        <v>17.107490672761863</v>
      </c>
      <c r="F11" s="94">
        <f t="shared" si="3"/>
        <v>61.17642052817459</v>
      </c>
      <c r="G11" s="94">
        <f t="shared" si="0"/>
        <v>32.20160388009891</v>
      </c>
      <c r="H11" s="92">
        <f t="shared" si="2"/>
        <v>20072.800000000003</v>
      </c>
      <c r="I11" s="92">
        <f t="shared" si="1"/>
        <v>66594.5</v>
      </c>
    </row>
    <row r="12" spans="1:9" s="142" customFormat="1" ht="17.25">
      <c r="A12" s="90" t="s">
        <v>12</v>
      </c>
      <c r="B12" s="112">
        <v>3419.7</v>
      </c>
      <c r="C12" s="113">
        <v>13016.5</v>
      </c>
      <c r="D12" s="92">
        <f>134.7+863.6+21+169+134.3+503.1+242.3+376.7+419.7</f>
        <v>2864.3999999999996</v>
      </c>
      <c r="E12" s="94">
        <f>D12/D6*100</f>
        <v>1.5492572284067265</v>
      </c>
      <c r="F12" s="94">
        <f t="shared" si="3"/>
        <v>83.76173348539345</v>
      </c>
      <c r="G12" s="94">
        <f t="shared" si="0"/>
        <v>22.005915568701262</v>
      </c>
      <c r="H12" s="92">
        <f>B12-D12</f>
        <v>555.3000000000002</v>
      </c>
      <c r="I12" s="92">
        <f t="shared" si="1"/>
        <v>10152.1</v>
      </c>
    </row>
    <row r="13" spans="1:9" s="142" customFormat="1" ht="18" thickBot="1">
      <c r="A13" s="90" t="s">
        <v>25</v>
      </c>
      <c r="B13" s="113">
        <f>B6-B8-B9-B10-B11-B12</f>
        <v>8047.899999999984</v>
      </c>
      <c r="C13" s="113">
        <f>C6-C8-C9-C10-C11-C12</f>
        <v>32547.099999999962</v>
      </c>
      <c r="D13" s="113">
        <f>D6-D8-D9-D10-D11-D12</f>
        <v>3113.7000000000426</v>
      </c>
      <c r="E13" s="94">
        <f>D13/D6*100</f>
        <v>1.6840951794756638</v>
      </c>
      <c r="F13" s="94">
        <f t="shared" si="3"/>
        <v>38.68959604368902</v>
      </c>
      <c r="G13" s="94">
        <f t="shared" si="0"/>
        <v>9.566750954770306</v>
      </c>
      <c r="H13" s="92">
        <f t="shared" si="2"/>
        <v>4934.199999999942</v>
      </c>
      <c r="I13" s="92">
        <f t="shared" si="1"/>
        <v>29433.39999999992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8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8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" thickBot="1">
      <c r="A18" s="18" t="s">
        <v>17</v>
      </c>
      <c r="B18" s="34">
        <v>104593.4</v>
      </c>
      <c r="C18" s="35">
        <f>417020.2+71.9</f>
        <v>417092.10000000003</v>
      </c>
      <c r="D18" s="36">
        <f>9880.4+236.6+6978.3+6921+371.7+499.9+9964.9+4030.7+430.2+29.9+505.9+258.6+9247.5+5793.8+177.6-0.3+50.4+1560.6+365+404.1+10080.2+6002.3+983.7+0.2+102.6+170.9+1929.3</f>
        <v>76976</v>
      </c>
      <c r="E18" s="3">
        <f>D18/D155*100</f>
        <v>17.437738059693718</v>
      </c>
      <c r="F18" s="3">
        <f>D18/B18*100</f>
        <v>73.59546587069548</v>
      </c>
      <c r="G18" s="3">
        <f t="shared" si="0"/>
        <v>18.45539630215964</v>
      </c>
      <c r="H18" s="36">
        <f>B18-D18</f>
        <v>27617.399999999994</v>
      </c>
      <c r="I18" s="36">
        <f t="shared" si="1"/>
        <v>340116.10000000003</v>
      </c>
      <c r="J18" s="142"/>
      <c r="L18" s="143">
        <f>H18-H19</f>
        <v>23717.499999999993</v>
      </c>
    </row>
    <row r="19" spans="1:9" s="84" customFormat="1" ht="18">
      <c r="A19" s="125" t="s">
        <v>80</v>
      </c>
      <c r="B19" s="126">
        <v>51114.4</v>
      </c>
      <c r="C19" s="127">
        <v>204458.2</v>
      </c>
      <c r="D19" s="128">
        <f>9880.4+236.6+6921+499.9+9964.9+430.2+258.6+5793.8+50.4+1023.5+21.4+9702.8+983.7+1447.3</f>
        <v>47214.5</v>
      </c>
      <c r="E19" s="129">
        <f>D19/D18*100</f>
        <v>61.33665038453544</v>
      </c>
      <c r="F19" s="129">
        <f t="shared" si="3"/>
        <v>92.37025182727372</v>
      </c>
      <c r="G19" s="129">
        <f t="shared" si="0"/>
        <v>23.09249518972582</v>
      </c>
      <c r="H19" s="128">
        <f t="shared" si="2"/>
        <v>3899.9000000000015</v>
      </c>
      <c r="I19" s="128">
        <f t="shared" si="1"/>
        <v>157243.7</v>
      </c>
    </row>
    <row r="20" spans="1:9" s="142" customFormat="1" ht="17.25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7.25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7.25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7.25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7.25">
      <c r="A24" s="90" t="s">
        <v>12</v>
      </c>
      <c r="B24" s="112">
        <v>181.7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181.7</v>
      </c>
      <c r="I24" s="92">
        <f t="shared" si="1"/>
        <v>999.4</v>
      </c>
    </row>
    <row r="25" spans="1:9" s="142" customFormat="1" ht="18" thickBot="1">
      <c r="A25" s="90" t="s">
        <v>25</v>
      </c>
      <c r="B25" s="113">
        <f>B18-B24</f>
        <v>104411.7</v>
      </c>
      <c r="C25" s="113">
        <f>C18-C24</f>
        <v>416092.7</v>
      </c>
      <c r="D25" s="113">
        <f>D18-D24</f>
        <v>76976</v>
      </c>
      <c r="E25" s="94">
        <f>D25/D18*100</f>
        <v>100</v>
      </c>
      <c r="F25" s="94">
        <f t="shared" si="3"/>
        <v>73.72353864557326</v>
      </c>
      <c r="G25" s="94">
        <f t="shared" si="0"/>
        <v>18.49972373944556</v>
      </c>
      <c r="H25" s="92">
        <f>B25-D25</f>
        <v>27435.699999999997</v>
      </c>
      <c r="I25" s="92">
        <f t="shared" si="1"/>
        <v>339116.7</v>
      </c>
    </row>
    <row r="26" spans="1:10" ht="54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8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8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" thickBot="1">
      <c r="A33" s="18" t="s">
        <v>15</v>
      </c>
      <c r="B33" s="34">
        <v>6622.8</v>
      </c>
      <c r="C33" s="35">
        <v>26954.8</v>
      </c>
      <c r="D33" s="38">
        <f>238.4+293+43.5+2+39.3+520.9+174.4+181.2+85.5+20.9+137.9+290.2+173.9+53.1+2.1+1.1+14+954.2-0.1+111.5+189.8+1.9+691.6+343.2+7.5-0.1+137+2.4+142.9+7.4</f>
        <v>4860.599999999999</v>
      </c>
      <c r="E33" s="3">
        <f>D33/D155*100</f>
        <v>1.1010947517790906</v>
      </c>
      <c r="F33" s="3">
        <f>D33/B33*100</f>
        <v>73.39191882587424</v>
      </c>
      <c r="G33" s="3">
        <f t="shared" si="0"/>
        <v>18.032409811981537</v>
      </c>
      <c r="H33" s="36">
        <f t="shared" si="2"/>
        <v>1762.2000000000007</v>
      </c>
      <c r="I33" s="36">
        <f t="shared" si="1"/>
        <v>22094.2</v>
      </c>
      <c r="J33" s="142"/>
    </row>
    <row r="34" spans="1:9" s="142" customFormat="1" ht="17.25">
      <c r="A34" s="90" t="s">
        <v>3</v>
      </c>
      <c r="B34" s="112">
        <v>3397.7</v>
      </c>
      <c r="C34" s="113">
        <v>14255.8</v>
      </c>
      <c r="D34" s="92">
        <f>95.5+254.3+520.9+145.6+77.4+290.2+14+629.4+494.6</f>
        <v>2521.9</v>
      </c>
      <c r="E34" s="94">
        <f>D34/D33*100</f>
        <v>51.88454100316834</v>
      </c>
      <c r="F34" s="94">
        <f t="shared" si="3"/>
        <v>74.2237395885452</v>
      </c>
      <c r="G34" s="94">
        <f t="shared" si="0"/>
        <v>17.69034357945538</v>
      </c>
      <c r="H34" s="92">
        <f t="shared" si="2"/>
        <v>875.7999999999997</v>
      </c>
      <c r="I34" s="92">
        <f t="shared" si="1"/>
        <v>11733.9</v>
      </c>
    </row>
    <row r="35" spans="1:9" s="142" customFormat="1" ht="17.25">
      <c r="A35" s="90" t="s">
        <v>1</v>
      </c>
      <c r="B35" s="112">
        <f>12+7.5</f>
        <v>19.5</v>
      </c>
      <c r="C35" s="113">
        <v>87.1</v>
      </c>
      <c r="D35" s="92">
        <f>10+2+7.5</f>
        <v>19.5</v>
      </c>
      <c r="E35" s="94">
        <f>D35/D33*100</f>
        <v>0.4011850388840884</v>
      </c>
      <c r="F35" s="94">
        <f t="shared" si="3"/>
        <v>100</v>
      </c>
      <c r="G35" s="94">
        <f t="shared" si="0"/>
        <v>22.388059701492537</v>
      </c>
      <c r="H35" s="92">
        <f t="shared" si="2"/>
        <v>0</v>
      </c>
      <c r="I35" s="92">
        <f t="shared" si="1"/>
        <v>67.6</v>
      </c>
    </row>
    <row r="36" spans="1:9" s="142" customFormat="1" ht="17.25">
      <c r="A36" s="90" t="s">
        <v>0</v>
      </c>
      <c r="B36" s="112">
        <v>859.1</v>
      </c>
      <c r="C36" s="113">
        <v>2087.8</v>
      </c>
      <c r="D36" s="92">
        <f>1.1+273.8+98.4+76.8+0.5</f>
        <v>450.6000000000001</v>
      </c>
      <c r="E36" s="94">
        <f>D36/D33*100</f>
        <v>9.270460436983091</v>
      </c>
      <c r="F36" s="94">
        <f t="shared" si="3"/>
        <v>52.45023862181354</v>
      </c>
      <c r="G36" s="94">
        <f t="shared" si="0"/>
        <v>21.582527061979118</v>
      </c>
      <c r="H36" s="92">
        <f t="shared" si="2"/>
        <v>408.49999999999994</v>
      </c>
      <c r="I36" s="92">
        <f t="shared" si="1"/>
        <v>1637.2</v>
      </c>
    </row>
    <row r="37" spans="1:9" s="84" customFormat="1" ht="17.25">
      <c r="A37" s="103" t="s">
        <v>7</v>
      </c>
      <c r="B37" s="123">
        <v>106.3</v>
      </c>
      <c r="C37" s="124">
        <v>1082.6</v>
      </c>
      <c r="D37" s="96">
        <f>38.7+2+2.3+2.6+2.1+1.9+12.2+7.5+2.4</f>
        <v>71.7</v>
      </c>
      <c r="E37" s="99">
        <f>D37/D33*100</f>
        <v>1.4751265275891867</v>
      </c>
      <c r="F37" s="99">
        <f t="shared" si="3"/>
        <v>67.45061147695203</v>
      </c>
      <c r="G37" s="99">
        <f t="shared" si="0"/>
        <v>6.622944762608536</v>
      </c>
      <c r="H37" s="96">
        <f t="shared" si="2"/>
        <v>34.599999999999994</v>
      </c>
      <c r="I37" s="96">
        <f t="shared" si="1"/>
        <v>1010.8999999999999</v>
      </c>
    </row>
    <row r="38" spans="1:9" s="142" customFormat="1" ht="17.25">
      <c r="A38" s="90" t="s">
        <v>12</v>
      </c>
      <c r="B38" s="112">
        <f>51+8.7</f>
        <v>59.7</v>
      </c>
      <c r="C38" s="113">
        <f>221.9+8.7</f>
        <v>230.6</v>
      </c>
      <c r="D38" s="113">
        <f>5.1+45.9</f>
        <v>51</v>
      </c>
      <c r="E38" s="94">
        <f>D38/D33*100</f>
        <v>1.0492531786199235</v>
      </c>
      <c r="F38" s="94">
        <f t="shared" si="3"/>
        <v>85.42713567839195</v>
      </c>
      <c r="G38" s="94">
        <f t="shared" si="0"/>
        <v>22.116218560277538</v>
      </c>
      <c r="H38" s="92">
        <f t="shared" si="2"/>
        <v>8.700000000000003</v>
      </c>
      <c r="I38" s="92">
        <f t="shared" si="1"/>
        <v>179.6</v>
      </c>
    </row>
    <row r="39" spans="1:9" s="142" customFormat="1" ht="18" thickBot="1">
      <c r="A39" s="90" t="s">
        <v>25</v>
      </c>
      <c r="B39" s="112">
        <f>B33-B34-B36-B37-B35-B38</f>
        <v>2180.5000000000005</v>
      </c>
      <c r="C39" s="112">
        <f>C33-C34-C36-C37-C35-C38</f>
        <v>9210.9</v>
      </c>
      <c r="D39" s="112">
        <f>D33-D34-D36-D37-D35-D38</f>
        <v>1745.8999999999992</v>
      </c>
      <c r="E39" s="94">
        <f>D39/D33*100</f>
        <v>35.91943381475537</v>
      </c>
      <c r="F39" s="94">
        <f t="shared" si="3"/>
        <v>80.0687915615684</v>
      </c>
      <c r="G39" s="94">
        <f t="shared" si="0"/>
        <v>18.95471669435125</v>
      </c>
      <c r="H39" s="92">
        <f>B39-D39</f>
        <v>434.6000000000013</v>
      </c>
      <c r="I39" s="92">
        <f t="shared" si="1"/>
        <v>7465</v>
      </c>
    </row>
    <row r="40" spans="1:10" ht="18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8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18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8" thickBot="1">
      <c r="A43" s="11" t="s">
        <v>14</v>
      </c>
      <c r="B43" s="71">
        <f>190+25</f>
        <v>215</v>
      </c>
      <c r="C43" s="35">
        <f>955.1+25</f>
        <v>980.1</v>
      </c>
      <c r="D43" s="36">
        <f>18+9.7+7.2+11.6+18.4+18.7+25.1+13.5+2.2+2</f>
        <v>126.40000000000002</v>
      </c>
      <c r="E43" s="3">
        <f>D43/D155*100</f>
        <v>0.02863399099388493</v>
      </c>
      <c r="F43" s="3">
        <f>D43/B43*100</f>
        <v>58.79069767441861</v>
      </c>
      <c r="G43" s="3">
        <f t="shared" si="0"/>
        <v>12.896643199673505</v>
      </c>
      <c r="H43" s="36">
        <f t="shared" si="2"/>
        <v>88.59999999999998</v>
      </c>
      <c r="I43" s="36">
        <f t="shared" si="1"/>
        <v>853.7</v>
      </c>
      <c r="J43" s="142"/>
    </row>
    <row r="44" spans="1:10" ht="18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0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</row>
    <row r="46" spans="1:10" ht="18" thickBot="1">
      <c r="A46" s="18" t="s">
        <v>42</v>
      </c>
      <c r="B46" s="34">
        <v>4110.5</v>
      </c>
      <c r="C46" s="35">
        <v>16742.1</v>
      </c>
      <c r="D46" s="36">
        <f>346.4+682.6-0.1+14.1+556.7+0.1+721.1+127.1+71.4+15.4+390.3+13.9+56.1</f>
        <v>2995.1000000000004</v>
      </c>
      <c r="E46" s="3">
        <f>D46/D155*100</f>
        <v>0.6784941964065249</v>
      </c>
      <c r="F46" s="3">
        <f>D46/B46*100</f>
        <v>72.86461501033938</v>
      </c>
      <c r="G46" s="3">
        <f aca="true" t="shared" si="4" ref="G46:G77">D46/C46*100</f>
        <v>17.889631527705607</v>
      </c>
      <c r="H46" s="36">
        <f>B46-D46</f>
        <v>1115.3999999999996</v>
      </c>
      <c r="I46" s="36">
        <f aca="true" t="shared" si="5" ref="I46:I78">C46-D46</f>
        <v>13746.999999999998</v>
      </c>
      <c r="J46" s="142"/>
    </row>
    <row r="47" spans="1:9" s="142" customFormat="1" ht="17.25">
      <c r="A47" s="90" t="s">
        <v>3</v>
      </c>
      <c r="B47" s="112">
        <v>3569.9</v>
      </c>
      <c r="C47" s="113">
        <v>15270.9</v>
      </c>
      <c r="D47" s="92">
        <f>332.5+633.1+14.1+510.1+691.2+14.1+377.2-0.1</f>
        <v>2572.2</v>
      </c>
      <c r="E47" s="94">
        <f>D47/D46*100</f>
        <v>85.8802711094788</v>
      </c>
      <c r="F47" s="94">
        <f aca="true" t="shared" si="6" ref="F47:F75">D47/B47*100</f>
        <v>72.05243844365387</v>
      </c>
      <c r="G47" s="94">
        <f t="shared" si="4"/>
        <v>16.843800954757086</v>
      </c>
      <c r="H47" s="92">
        <f aca="true" t="shared" si="7" ref="H47:H75">B47-D47</f>
        <v>997.7000000000003</v>
      </c>
      <c r="I47" s="92">
        <f t="shared" si="5"/>
        <v>12698.7</v>
      </c>
    </row>
    <row r="48" spans="1:9" s="142" customFormat="1" ht="17.25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</row>
    <row r="49" spans="1:9" s="142" customFormat="1" ht="17.25">
      <c r="A49" s="90" t="s">
        <v>1</v>
      </c>
      <c r="B49" s="112">
        <v>21.2</v>
      </c>
      <c r="C49" s="113">
        <v>106.3</v>
      </c>
      <c r="D49" s="92">
        <f>8.3+10.5</f>
        <v>18.8</v>
      </c>
      <c r="E49" s="94">
        <f>D49/D46*100</f>
        <v>0.6276918967647156</v>
      </c>
      <c r="F49" s="94">
        <f t="shared" si="6"/>
        <v>88.67924528301887</v>
      </c>
      <c r="G49" s="94">
        <f t="shared" si="4"/>
        <v>17.68579492003763</v>
      </c>
      <c r="H49" s="92">
        <f t="shared" si="7"/>
        <v>2.3999999999999986</v>
      </c>
      <c r="I49" s="92">
        <f t="shared" si="5"/>
        <v>87.5</v>
      </c>
    </row>
    <row r="50" spans="1:9" s="142" customFormat="1" ht="17.25">
      <c r="A50" s="90" t="s">
        <v>0</v>
      </c>
      <c r="B50" s="112">
        <v>445.7</v>
      </c>
      <c r="C50" s="113">
        <v>998.4</v>
      </c>
      <c r="D50" s="92">
        <f>13.9+43.7+37.9+3.3+112.6+65.7+2.1+15.6+56.1</f>
        <v>350.90000000000003</v>
      </c>
      <c r="E50" s="94">
        <f>D50/D46*100</f>
        <v>11.71580247737972</v>
      </c>
      <c r="F50" s="94">
        <f t="shared" si="6"/>
        <v>78.7300875028046</v>
      </c>
      <c r="G50" s="94">
        <f t="shared" si="4"/>
        <v>35.14623397435898</v>
      </c>
      <c r="H50" s="92">
        <f t="shared" si="7"/>
        <v>94.79999999999995</v>
      </c>
      <c r="I50" s="92">
        <f t="shared" si="5"/>
        <v>647.5</v>
      </c>
    </row>
    <row r="51" spans="1:9" s="142" customFormat="1" ht="18" thickBot="1">
      <c r="A51" s="90" t="s">
        <v>25</v>
      </c>
      <c r="B51" s="113">
        <f>B46-B47-B50-B49-B48</f>
        <v>72.79999999999991</v>
      </c>
      <c r="C51" s="113">
        <f>C46-C47-C50-C49-C48</f>
        <v>364.8999999999989</v>
      </c>
      <c r="D51" s="113">
        <f>D46-D47-D50-D49-D48</f>
        <v>53.200000000000514</v>
      </c>
      <c r="E51" s="94">
        <f>D51/D46*100</f>
        <v>1.7762345163767659</v>
      </c>
      <c r="F51" s="94">
        <f t="shared" si="6"/>
        <v>73.07692307692388</v>
      </c>
      <c r="G51" s="94">
        <f t="shared" si="4"/>
        <v>14.579336804604187</v>
      </c>
      <c r="H51" s="92">
        <f t="shared" si="7"/>
        <v>19.599999999999397</v>
      </c>
      <c r="I51" s="92">
        <f t="shared" si="5"/>
        <v>311.6999999999984</v>
      </c>
    </row>
    <row r="52" spans="1:10" ht="18" thickBot="1">
      <c r="A52" s="18" t="s">
        <v>4</v>
      </c>
      <c r="B52" s="34">
        <v>12948.9</v>
      </c>
      <c r="C52" s="35">
        <v>54626.8</v>
      </c>
      <c r="D52" s="36">
        <f>721.7+145.3+5+112.8+1132.7+7.6+9.6+17.1+0.3+1056.5+185.3+56.2+95+1327.2+403.4+2.3+70.2+233.5+966+52.7+123+9.9-0.1+532.2+8.3</f>
        <v>7273.699999999999</v>
      </c>
      <c r="E52" s="3">
        <f>D52/D155*100</f>
        <v>1.6477457301599743</v>
      </c>
      <c r="F52" s="3">
        <f>D52/B52*100</f>
        <v>56.17233896315517</v>
      </c>
      <c r="G52" s="3">
        <f t="shared" si="4"/>
        <v>13.315259176814308</v>
      </c>
      <c r="H52" s="36">
        <f>B52-D52</f>
        <v>5675.200000000001</v>
      </c>
      <c r="I52" s="36">
        <f t="shared" si="5"/>
        <v>47353.100000000006</v>
      </c>
      <c r="J52" s="142"/>
    </row>
    <row r="53" spans="1:9" s="142" customFormat="1" ht="17.25">
      <c r="A53" s="90" t="s">
        <v>3</v>
      </c>
      <c r="B53" s="112">
        <v>6606.5</v>
      </c>
      <c r="C53" s="113">
        <v>25959.9</v>
      </c>
      <c r="D53" s="92">
        <f>721.7+980.4+865.2+984.4+270.7+792.3+9.9</f>
        <v>4624.599999999999</v>
      </c>
      <c r="E53" s="94">
        <f>D53/D52*100</f>
        <v>63.579746208944556</v>
      </c>
      <c r="F53" s="94">
        <f t="shared" si="6"/>
        <v>70.0007568303943</v>
      </c>
      <c r="G53" s="94">
        <f t="shared" si="4"/>
        <v>17.81439836054838</v>
      </c>
      <c r="H53" s="92">
        <f t="shared" si="7"/>
        <v>1981.9000000000005</v>
      </c>
      <c r="I53" s="92">
        <f t="shared" si="5"/>
        <v>21335.300000000003</v>
      </c>
    </row>
    <row r="54" spans="1:9" s="142" customFormat="1" ht="17.25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7.25">
      <c r="A55" s="90" t="s">
        <v>1</v>
      </c>
      <c r="B55" s="112">
        <v>947.9</v>
      </c>
      <c r="C55" s="113">
        <v>4332.1</v>
      </c>
      <c r="D55" s="92">
        <f>3.2+7.6+9.6+11.4+10.1+24.7+6.6+7.8+2.3+6.6+70.1+102.1+3.2</f>
        <v>265.29999999999995</v>
      </c>
      <c r="E55" s="94">
        <f>D55/D52*100</f>
        <v>3.647387161967087</v>
      </c>
      <c r="F55" s="94">
        <f t="shared" si="6"/>
        <v>27.988184407637934</v>
      </c>
      <c r="G55" s="94">
        <f t="shared" si="4"/>
        <v>6.124050691350614</v>
      </c>
      <c r="H55" s="92">
        <f t="shared" si="7"/>
        <v>682.6</v>
      </c>
      <c r="I55" s="92">
        <f t="shared" si="5"/>
        <v>4066.8</v>
      </c>
    </row>
    <row r="56" spans="1:9" s="142" customFormat="1" ht="17.25">
      <c r="A56" s="90" t="s">
        <v>0</v>
      </c>
      <c r="B56" s="112">
        <v>532</v>
      </c>
      <c r="C56" s="113">
        <v>1406.6</v>
      </c>
      <c r="D56" s="92">
        <f>0.3+1.2+21.4+80.5+2.4+14.5+22.9</f>
        <v>143.20000000000002</v>
      </c>
      <c r="E56" s="94">
        <f>D56/D52*100</f>
        <v>1.968736681468854</v>
      </c>
      <c r="F56" s="94">
        <f t="shared" si="6"/>
        <v>26.917293233082713</v>
      </c>
      <c r="G56" s="94">
        <f t="shared" si="4"/>
        <v>10.180577278544009</v>
      </c>
      <c r="H56" s="92">
        <f t="shared" si="7"/>
        <v>388.79999999999995</v>
      </c>
      <c r="I56" s="92">
        <f t="shared" si="5"/>
        <v>1263.3999999999999</v>
      </c>
    </row>
    <row r="57" spans="1:9" s="142" customFormat="1" ht="17.25">
      <c r="A57" s="90" t="s">
        <v>12</v>
      </c>
      <c r="B57" s="112">
        <v>906</v>
      </c>
      <c r="C57" s="113">
        <v>4640</v>
      </c>
      <c r="D57" s="113">
        <f>227+242</f>
        <v>469</v>
      </c>
      <c r="E57" s="94">
        <f>D57/D52*100</f>
        <v>6.447887595034166</v>
      </c>
      <c r="F57" s="94">
        <f>D57/B57*100</f>
        <v>51.76600441501103</v>
      </c>
      <c r="G57" s="94">
        <f>D57/C57*100</f>
        <v>10.107758620689655</v>
      </c>
      <c r="H57" s="92">
        <f t="shared" si="7"/>
        <v>437</v>
      </c>
      <c r="I57" s="92">
        <f t="shared" si="5"/>
        <v>4171</v>
      </c>
    </row>
    <row r="58" spans="1:9" s="142" customFormat="1" ht="18" thickBot="1">
      <c r="A58" s="90" t="s">
        <v>25</v>
      </c>
      <c r="B58" s="113">
        <f>B52-B53-B56-B55-B54-B57</f>
        <v>3956.5</v>
      </c>
      <c r="C58" s="113">
        <f>C52-C53-C56-C55-C54-C57</f>
        <v>18271.800000000003</v>
      </c>
      <c r="D58" s="113">
        <f>D52-D53-D56-D55-D54-D57</f>
        <v>1771.5999999999995</v>
      </c>
      <c r="E58" s="94">
        <f>D58/D52*100</f>
        <v>24.35624235258534</v>
      </c>
      <c r="F58" s="94">
        <f t="shared" si="6"/>
        <v>44.77694932389737</v>
      </c>
      <c r="G58" s="94">
        <f t="shared" si="4"/>
        <v>9.695815409538191</v>
      </c>
      <c r="H58" s="92">
        <f>B58-D58</f>
        <v>2184.9000000000005</v>
      </c>
      <c r="I58" s="92">
        <f>C58-D58</f>
        <v>16500.200000000004</v>
      </c>
    </row>
    <row r="59" spans="1:10" s="29" customFormat="1" ht="18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" thickBot="1">
      <c r="A60" s="18" t="s">
        <v>6</v>
      </c>
      <c r="B60" s="34">
        <v>1189.8</v>
      </c>
      <c r="C60" s="35">
        <v>10268.5</v>
      </c>
      <c r="D60" s="36">
        <f>80.6+106+88.7+4.1+0.3+50.7+49.2+44+180.6+100.8+125+0.6</f>
        <v>830.6</v>
      </c>
      <c r="E60" s="3">
        <f>D60/D155*100</f>
        <v>0.18815975411013305</v>
      </c>
      <c r="F60" s="3">
        <f>D60/B60*100</f>
        <v>69.81005210959825</v>
      </c>
      <c r="G60" s="3">
        <f t="shared" si="4"/>
        <v>8.088815308954569</v>
      </c>
      <c r="H60" s="36">
        <f>B60-D60</f>
        <v>359.19999999999993</v>
      </c>
      <c r="I60" s="36">
        <f t="shared" si="5"/>
        <v>9437.9</v>
      </c>
      <c r="J60" s="142"/>
    </row>
    <row r="61" spans="1:9" s="142" customFormat="1" ht="17.25">
      <c r="A61" s="90" t="s">
        <v>3</v>
      </c>
      <c r="B61" s="112">
        <v>872.2</v>
      </c>
      <c r="C61" s="113">
        <v>3626.9</v>
      </c>
      <c r="D61" s="92">
        <f>80.6+106+88.7+4.1+50.7+38.1+180.6+95.6</f>
        <v>644.4000000000001</v>
      </c>
      <c r="E61" s="94">
        <f>D61/D60*100</f>
        <v>77.58247050325066</v>
      </c>
      <c r="F61" s="94">
        <f t="shared" si="6"/>
        <v>73.88213712451274</v>
      </c>
      <c r="G61" s="94">
        <f t="shared" si="4"/>
        <v>17.76723924012242</v>
      </c>
      <c r="H61" s="92">
        <f t="shared" si="7"/>
        <v>227.79999999999995</v>
      </c>
      <c r="I61" s="92">
        <f t="shared" si="5"/>
        <v>2982.5</v>
      </c>
    </row>
    <row r="62" spans="1:9" s="142" customFormat="1" ht="17.25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7.25">
      <c r="A63" s="90" t="s">
        <v>0</v>
      </c>
      <c r="B63" s="112">
        <v>250.6</v>
      </c>
      <c r="C63" s="113">
        <v>475.3</v>
      </c>
      <c r="D63" s="92">
        <f>9.6+44+118.7</f>
        <v>172.3</v>
      </c>
      <c r="E63" s="94">
        <f>D63/D60*100</f>
        <v>20.744040452684807</v>
      </c>
      <c r="F63" s="94">
        <f t="shared" si="6"/>
        <v>68.75498802873106</v>
      </c>
      <c r="G63" s="94">
        <f t="shared" si="4"/>
        <v>36.25078897538397</v>
      </c>
      <c r="H63" s="92">
        <f t="shared" si="7"/>
        <v>78.29999999999998</v>
      </c>
      <c r="I63" s="92">
        <f t="shared" si="5"/>
        <v>303</v>
      </c>
    </row>
    <row r="64" spans="1:9" s="142" customFormat="1" ht="17.25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" thickBot="1">
      <c r="A65" s="90" t="s">
        <v>25</v>
      </c>
      <c r="B65" s="113">
        <f>B60-B61-B63-B64-B62</f>
        <v>66.99999999999991</v>
      </c>
      <c r="C65" s="113">
        <f>C60-C61-C63-C64-C62</f>
        <v>897.6000000000004</v>
      </c>
      <c r="D65" s="113">
        <f>D60-D61-D63-D64-D62</f>
        <v>13.89999999999992</v>
      </c>
      <c r="E65" s="94">
        <f>D65/D60*100</f>
        <v>1.673489044064522</v>
      </c>
      <c r="F65" s="94">
        <f t="shared" si="6"/>
        <v>20.746268656716328</v>
      </c>
      <c r="G65" s="94">
        <f t="shared" si="4"/>
        <v>1.5485739750445537</v>
      </c>
      <c r="H65" s="92">
        <f t="shared" si="7"/>
        <v>53.099999999999994</v>
      </c>
      <c r="I65" s="92">
        <f t="shared" si="5"/>
        <v>883.7000000000005</v>
      </c>
    </row>
    <row r="66" spans="1:10" s="29" customFormat="1" ht="18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8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8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8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" thickBot="1">
      <c r="A70" s="18" t="s">
        <v>18</v>
      </c>
      <c r="B70" s="35">
        <f>B71+B72</f>
        <v>95.9</v>
      </c>
      <c r="C70" s="35">
        <f>C71+C72</f>
        <v>548</v>
      </c>
      <c r="D70" s="36">
        <f>D71+D72</f>
        <v>50.6</v>
      </c>
      <c r="E70" s="27">
        <f>D70/D155*100</f>
        <v>0.011462657787108997</v>
      </c>
      <c r="F70" s="3">
        <f>D70/B70*100</f>
        <v>52.76329509906152</v>
      </c>
      <c r="G70" s="3">
        <f t="shared" si="4"/>
        <v>9.233576642335766</v>
      </c>
      <c r="H70" s="36">
        <f>B70-D70</f>
        <v>45.300000000000004</v>
      </c>
      <c r="I70" s="36">
        <f t="shared" si="5"/>
        <v>497.4</v>
      </c>
      <c r="J70" s="142"/>
    </row>
    <row r="71" spans="1:9" s="142" customFormat="1" ht="17.25">
      <c r="A71" s="90" t="s">
        <v>106</v>
      </c>
      <c r="B71" s="112">
        <v>50</v>
      </c>
      <c r="C71" s="113">
        <v>217.3</v>
      </c>
      <c r="D71" s="92">
        <v>50</v>
      </c>
      <c r="E71" s="94">
        <f>D71/D70*100</f>
        <v>98.81422924901186</v>
      </c>
      <c r="F71" s="94">
        <f t="shared" si="6"/>
        <v>100</v>
      </c>
      <c r="G71" s="94">
        <f t="shared" si="4"/>
        <v>23.00966405890474</v>
      </c>
      <c r="H71" s="92">
        <f t="shared" si="7"/>
        <v>0</v>
      </c>
      <c r="I71" s="92">
        <f t="shared" si="5"/>
        <v>167.3</v>
      </c>
    </row>
    <row r="72" spans="1:9" s="142" customFormat="1" ht="18" thickBot="1">
      <c r="A72" s="90" t="s">
        <v>107</v>
      </c>
      <c r="B72" s="112">
        <f>111.7-65.8</f>
        <v>45.900000000000006</v>
      </c>
      <c r="C72" s="113">
        <f>396.5-65.8</f>
        <v>330.7</v>
      </c>
      <c r="D72" s="92">
        <f>0.6</f>
        <v>0.6</v>
      </c>
      <c r="E72" s="94">
        <f>D72/D71*100</f>
        <v>1.2</v>
      </c>
      <c r="F72" s="94">
        <f t="shared" si="6"/>
        <v>1.30718954248366</v>
      </c>
      <c r="G72" s="94">
        <f t="shared" si="4"/>
        <v>0.18143332325370426</v>
      </c>
      <c r="H72" s="92">
        <f t="shared" si="7"/>
        <v>45.300000000000004</v>
      </c>
      <c r="I72" s="92">
        <f t="shared" si="5"/>
        <v>330.09999999999997</v>
      </c>
    </row>
    <row r="73" spans="1:10" ht="35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8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8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8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8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8" thickBot="1">
      <c r="A78" s="21" t="s">
        <v>11</v>
      </c>
      <c r="B78" s="42">
        <v>2500</v>
      </c>
      <c r="C78" s="49">
        <v>10000</v>
      </c>
      <c r="D78" s="50"/>
      <c r="E78" s="30"/>
      <c r="F78" s="30"/>
      <c r="G78" s="30"/>
      <c r="H78" s="50">
        <f>B78-D78</f>
        <v>2500</v>
      </c>
      <c r="I78" s="50">
        <f t="shared" si="5"/>
        <v>10000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8" thickBot="1">
      <c r="A91" s="11" t="s">
        <v>8</v>
      </c>
      <c r="B91" s="41">
        <f>55304.3+56.6</f>
        <v>55360.9</v>
      </c>
      <c r="C91" s="35">
        <v>208452.8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244+43.9+2457.4+2707.4+10.4+33.4+0.3+26.7+297+18.1+13+3+6.2+490.1+6379.1-0.1+2560.6+73.2+32.7+207.4+162.1+3.7+587.9+1178+3844.7+1728.3+5.1+21.1+0.3+34.4+45+4.2+963+7087.2+2475+12.1+0.2+203.9+119.8+249.5+28.2+94.6+1641.4+3683.9+1284.9+43.8+45.6+7+132+69+12.9</f>
        <v>41372.600000000006</v>
      </c>
      <c r="E91" s="3">
        <f>D91/D155*100</f>
        <v>9.372331137607622</v>
      </c>
      <c r="F91" s="3">
        <f aca="true" t="shared" si="10" ref="F91:F97">D91/B91*100</f>
        <v>74.73252783101432</v>
      </c>
      <c r="G91" s="3">
        <f t="shared" si="8"/>
        <v>19.847466668713498</v>
      </c>
      <c r="H91" s="36">
        <f aca="true" t="shared" si="11" ref="H91:H97">B91-D91</f>
        <v>13988.299999999996</v>
      </c>
      <c r="I91" s="36">
        <f t="shared" si="9"/>
        <v>167080.19999999998</v>
      </c>
      <c r="J91" s="142"/>
    </row>
    <row r="92" spans="1:9" s="142" customFormat="1" ht="21.75" customHeight="1">
      <c r="A92" s="90" t="s">
        <v>3</v>
      </c>
      <c r="B92" s="112">
        <v>51618.2</v>
      </c>
      <c r="C92" s="113">
        <v>195523.2</v>
      </c>
      <c r="D92" s="92">
        <f>244+2447.7+2707.4+7.9+32.8+292+16+4.4+487.2+6367.9-0.1+2554.5+39.8+0.3+122+1.4+575.3+1176+3828+1657.6+10+5.7+877.3+7018.3+1997.5+99.9+196.5+40.7+134.2+1.1+1320.5+3625.9+1272.5-0.3+130.1+0.9</f>
        <v>39292.89999999999</v>
      </c>
      <c r="E92" s="94">
        <f>D92/D91*100</f>
        <v>94.97324316093255</v>
      </c>
      <c r="F92" s="94">
        <f t="shared" si="10"/>
        <v>76.12218171110187</v>
      </c>
      <c r="G92" s="94">
        <f t="shared" si="8"/>
        <v>20.09628524901392</v>
      </c>
      <c r="H92" s="92">
        <f t="shared" si="11"/>
        <v>12325.30000000001</v>
      </c>
      <c r="I92" s="92">
        <f t="shared" si="9"/>
        <v>156230.30000000002</v>
      </c>
    </row>
    <row r="93" spans="1:9" s="142" customFormat="1" ht="17.25">
      <c r="A93" s="90" t="s">
        <v>23</v>
      </c>
      <c r="B93" s="112">
        <f>1066.3</f>
        <v>1066.3</v>
      </c>
      <c r="C93" s="113">
        <v>2704.7</v>
      </c>
      <c r="D93" s="92">
        <f>56.2+5.4+7.1+340.1+77+0.5+3+170+5.7+0.1+23.6</f>
        <v>688.7</v>
      </c>
      <c r="E93" s="94">
        <f>D93/D91*100</f>
        <v>1.6646282805528294</v>
      </c>
      <c r="F93" s="94">
        <f t="shared" si="10"/>
        <v>64.5878270655538</v>
      </c>
      <c r="G93" s="94">
        <f t="shared" si="8"/>
        <v>25.463082781824237</v>
      </c>
      <c r="H93" s="92">
        <f t="shared" si="11"/>
        <v>377.5999999999999</v>
      </c>
      <c r="I93" s="92">
        <f t="shared" si="9"/>
        <v>2015.9999999999998</v>
      </c>
    </row>
    <row r="94" spans="1:9" s="142" customFormat="1" ht="17.25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" thickBot="1">
      <c r="A95" s="90" t="s">
        <v>25</v>
      </c>
      <c r="B95" s="113">
        <f>B91-B92-B93-B94</f>
        <v>2676.400000000004</v>
      </c>
      <c r="C95" s="113">
        <f>C91-C92-C93-C94</f>
        <v>10224.899999999976</v>
      </c>
      <c r="D95" s="113">
        <f>D91-D92-D93-D94</f>
        <v>1391.0000000000189</v>
      </c>
      <c r="E95" s="94">
        <f>D95/D91*100</f>
        <v>3.3621285585146174</v>
      </c>
      <c r="F95" s="94">
        <f t="shared" si="10"/>
        <v>51.972799282619064</v>
      </c>
      <c r="G95" s="94">
        <f>D95/C95*100</f>
        <v>13.604045027335449</v>
      </c>
      <c r="H95" s="92">
        <f t="shared" si="11"/>
        <v>1285.3999999999853</v>
      </c>
      <c r="I95" s="92">
        <f>C95-D95</f>
        <v>8833.899999999958</v>
      </c>
    </row>
    <row r="96" spans="1:10" ht="17.25">
      <c r="A96" s="75" t="s">
        <v>10</v>
      </c>
      <c r="B96" s="83">
        <f>17087.2-56.6</f>
        <v>17030.600000000002</v>
      </c>
      <c r="C96" s="78">
        <v>83543</v>
      </c>
      <c r="D96" s="77">
        <f>550.6+16+384.3+525.5+369.8+2.6+13.2+66.6+29.8+815.4+66.6+46.7+1198.1+490.3+154+72.1+121.6+525.1+495.6+452.5+67.7+766.7+27.8+2611.4+110.1+3.8+3.3</f>
        <v>9987.199999999999</v>
      </c>
      <c r="E96" s="74">
        <f>D96/D155*100</f>
        <v>2.2624477440991098</v>
      </c>
      <c r="F96" s="76">
        <f t="shared" si="10"/>
        <v>58.64267847286647</v>
      </c>
      <c r="G96" s="73">
        <f>D96/C96*100</f>
        <v>11.95456232119986</v>
      </c>
      <c r="H96" s="77">
        <f t="shared" si="11"/>
        <v>7043.400000000003</v>
      </c>
      <c r="I96" s="79">
        <f>C96-D96</f>
        <v>73555.8</v>
      </c>
      <c r="J96" s="142"/>
    </row>
    <row r="97" spans="1:9" s="142" customFormat="1" ht="18" thickBot="1">
      <c r="A97" s="115" t="s">
        <v>81</v>
      </c>
      <c r="B97" s="116">
        <f>4014.9+200</f>
        <v>4214.9</v>
      </c>
      <c r="C97" s="117">
        <v>16376.6</v>
      </c>
      <c r="D97" s="118">
        <f>101+2.6+598.7+1.6+2603.8+3.8</f>
        <v>3311.5000000000005</v>
      </c>
      <c r="E97" s="119">
        <f>D97/D96*100</f>
        <v>33.1574415251522</v>
      </c>
      <c r="F97" s="120">
        <f t="shared" si="10"/>
        <v>78.56651403354768</v>
      </c>
      <c r="G97" s="121">
        <f>D97/C97*100</f>
        <v>20.22092497832273</v>
      </c>
      <c r="H97" s="122">
        <f t="shared" si="11"/>
        <v>903.3999999999992</v>
      </c>
      <c r="I97" s="111">
        <f>C97-D97</f>
        <v>13065.1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8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8" thickBot="1">
      <c r="A103" s="11" t="s">
        <v>9</v>
      </c>
      <c r="B103" s="82">
        <f>15912.7+7.6</f>
        <v>15920.300000000001</v>
      </c>
      <c r="C103" s="65">
        <f>73778+7.6</f>
        <v>73785.6</v>
      </c>
      <c r="D103" s="61">
        <f>152.2+12.4+164.7+14+1585.4+13.1+10.2+18+148.6+2141.8+73.9+131.3+1879.3+351.3+97.1+16.6+48.3+0.1+592.9+250.5+1840.9+85.4+148.3-0.2+534.2+1861+58.9</f>
        <v>12230.199999999999</v>
      </c>
      <c r="E103" s="16">
        <f>D103/D155*100</f>
        <v>2.770565163397242</v>
      </c>
      <c r="F103" s="16">
        <f>D103/B103*100</f>
        <v>76.82141668184643</v>
      </c>
      <c r="G103" s="16">
        <f aca="true" t="shared" si="12" ref="G103:G153">D103/C103*100</f>
        <v>16.575320929829125</v>
      </c>
      <c r="H103" s="61">
        <f aca="true" t="shared" si="13" ref="H103:H109">B103-D103</f>
        <v>3690.100000000002</v>
      </c>
      <c r="I103" s="61">
        <f aca="true" t="shared" si="14" ref="I103:I153">C103-D103</f>
        <v>61555.40000000001</v>
      </c>
      <c r="J103" s="84"/>
    </row>
    <row r="104" spans="1:9" s="142" customFormat="1" ht="18.75" customHeight="1">
      <c r="A104" s="90" t="s">
        <v>3</v>
      </c>
      <c r="B104" s="104">
        <v>54.4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54.4</v>
      </c>
      <c r="I104" s="105">
        <f t="shared" si="14"/>
        <v>543.6</v>
      </c>
    </row>
    <row r="105" spans="1:9" s="142" customFormat="1" ht="17.25">
      <c r="A105" s="107" t="s">
        <v>46</v>
      </c>
      <c r="B105" s="91">
        <f>13985.3+7.6</f>
        <v>13992.9</v>
      </c>
      <c r="C105" s="92">
        <f>65554.9+7.6</f>
        <v>65562.5</v>
      </c>
      <c r="D105" s="92">
        <f>152.1+12.4+164.7+14+1585.4+8+18+148.5+2111.8+73.9+131.3+1879.3+114.9+217.3+66.2+14+0.1+582.9+250.5+1833.3+55+120.2+529.4+1861+47.8</f>
        <v>11992</v>
      </c>
      <c r="E105" s="94">
        <f>D105/D103*100</f>
        <v>98.05236218540989</v>
      </c>
      <c r="F105" s="94">
        <f aca="true" t="shared" si="15" ref="F105:F153">D105/B105*100</f>
        <v>85.70060530697711</v>
      </c>
      <c r="G105" s="94">
        <f t="shared" si="12"/>
        <v>18.290943755958054</v>
      </c>
      <c r="H105" s="92">
        <f t="shared" si="13"/>
        <v>2000.8999999999996</v>
      </c>
      <c r="I105" s="92">
        <f t="shared" si="14"/>
        <v>53570.5</v>
      </c>
    </row>
    <row r="106" spans="1:9" s="142" customFormat="1" ht="52.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" thickBot="1">
      <c r="A107" s="108" t="s">
        <v>25</v>
      </c>
      <c r="B107" s="109">
        <f>B103-B104-B105</f>
        <v>1873.0000000000018</v>
      </c>
      <c r="C107" s="109">
        <f>C103-C104-C105</f>
        <v>7679.5</v>
      </c>
      <c r="D107" s="109">
        <f>D103-D104-D105</f>
        <v>238.1999999999989</v>
      </c>
      <c r="E107" s="110">
        <f>D107/D103*100</f>
        <v>1.9476378145901043</v>
      </c>
      <c r="F107" s="110">
        <f t="shared" si="15"/>
        <v>12.717565403096565</v>
      </c>
      <c r="G107" s="110">
        <f t="shared" si="12"/>
        <v>3.1017644377889044</v>
      </c>
      <c r="H107" s="111">
        <f t="shared" si="13"/>
        <v>1634.800000000003</v>
      </c>
      <c r="I107" s="111">
        <f t="shared" si="14"/>
        <v>7441.300000000001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136267.7</v>
      </c>
      <c r="C108" s="63">
        <f>SUM(C109:C152)-C116-C121+C153-C143-C144-C110-C113-C124-C125-C141-C134-C132-C139-C119</f>
        <v>668464</v>
      </c>
      <c r="D108" s="63">
        <f>SUM(D109:D152)-D116-D121+D153-D143-D144-D110-D113-D124-D125-D141-D134-D132-D139-D119</f>
        <v>99841.79999999997</v>
      </c>
      <c r="E108" s="64">
        <f>D108/D155*100</f>
        <v>22.61763609187705</v>
      </c>
      <c r="F108" s="64">
        <f>D108/B108*100</f>
        <v>73.26886709029357</v>
      </c>
      <c r="G108" s="64">
        <f t="shared" si="12"/>
        <v>14.936002537159812</v>
      </c>
      <c r="H108" s="63">
        <f t="shared" si="13"/>
        <v>36425.90000000004</v>
      </c>
      <c r="I108" s="63">
        <f t="shared" si="14"/>
        <v>568622.2000000001</v>
      </c>
      <c r="J108" s="100"/>
    </row>
    <row r="109" spans="1:9" s="142" customFormat="1" ht="34.5">
      <c r="A109" s="85" t="s">
        <v>50</v>
      </c>
      <c r="B109" s="150">
        <v>1308.1</v>
      </c>
      <c r="C109" s="135">
        <v>4983.7</v>
      </c>
      <c r="D109" s="86">
        <f>1.8+140.5+138.5+0.9+33+80.9+13.3+0.1+53.3+109+1.4+124.9+19.8+24.9+9+3.6</f>
        <v>754.9</v>
      </c>
      <c r="E109" s="87">
        <f>D109/D108*100</f>
        <v>0.7560961440999664</v>
      </c>
      <c r="F109" s="87">
        <f t="shared" si="15"/>
        <v>57.70965522513569</v>
      </c>
      <c r="G109" s="87">
        <f t="shared" si="12"/>
        <v>15.14738046030058</v>
      </c>
      <c r="H109" s="88">
        <f t="shared" si="13"/>
        <v>553.1999999999999</v>
      </c>
      <c r="I109" s="88">
        <f t="shared" si="14"/>
        <v>4228.8</v>
      </c>
    </row>
    <row r="110" spans="1:9" s="142" customFormat="1" ht="17.25">
      <c r="A110" s="90" t="s">
        <v>23</v>
      </c>
      <c r="B110" s="91">
        <v>656.8</v>
      </c>
      <c r="C110" s="92">
        <v>2332.2</v>
      </c>
      <c r="D110" s="93">
        <f>2.4+138.5+0.9+33.1+80.9+53.3+1.8+1.1+124.9+24.9</f>
        <v>461.80000000000007</v>
      </c>
      <c r="E110" s="94">
        <f>D110/D109*100</f>
        <v>61.173665386143874</v>
      </c>
      <c r="F110" s="94">
        <f t="shared" si="15"/>
        <v>70.31059683313035</v>
      </c>
      <c r="G110" s="94">
        <f t="shared" si="12"/>
        <v>19.80104622245091</v>
      </c>
      <c r="H110" s="92">
        <f aca="true" t="shared" si="16" ref="H110:H153">B110-D110</f>
        <v>194.9999999999999</v>
      </c>
      <c r="I110" s="92">
        <f t="shared" si="14"/>
        <v>1870.3999999999996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6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75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6"/>
        <v>75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6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6"/>
        <v>0</v>
      </c>
      <c r="I114" s="88">
        <f t="shared" si="14"/>
        <v>0</v>
      </c>
    </row>
    <row r="115" spans="1:9" s="142" customFormat="1" ht="34.5">
      <c r="A115" s="95" t="s">
        <v>36</v>
      </c>
      <c r="B115" s="138">
        <v>1547.7</v>
      </c>
      <c r="C115" s="88">
        <v>5785.2</v>
      </c>
      <c r="D115" s="86">
        <f>187.7+10.4+531.5+38.4+44.9+0.1+53.3+13.7+14.6+4.3</f>
        <v>898.9</v>
      </c>
      <c r="E115" s="87">
        <f>D115/D108*100</f>
        <v>0.9003243130632663</v>
      </c>
      <c r="F115" s="87">
        <f t="shared" si="15"/>
        <v>58.07973121405957</v>
      </c>
      <c r="G115" s="87">
        <f t="shared" si="12"/>
        <v>15.53792435870843</v>
      </c>
      <c r="H115" s="88">
        <f t="shared" si="16"/>
        <v>648.8000000000001</v>
      </c>
      <c r="I115" s="88">
        <f t="shared" si="14"/>
        <v>4886.3</v>
      </c>
    </row>
    <row r="116" spans="1:9" s="142" customFormat="1" ht="17.25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6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6"/>
        <v>0</v>
      </c>
      <c r="I117" s="96">
        <f t="shared" si="14"/>
        <v>0</v>
      </c>
    </row>
    <row r="118" spans="1:9" s="142" customFormat="1" ht="34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6"/>
        <v>0</v>
      </c>
      <c r="I118" s="88">
        <f t="shared" si="14"/>
        <v>0</v>
      </c>
    </row>
    <row r="119" spans="1:9" s="142" customFormat="1" ht="17.25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7.25">
      <c r="A120" s="95" t="s">
        <v>13</v>
      </c>
      <c r="B120" s="138">
        <v>303.7</v>
      </c>
      <c r="C120" s="96">
        <v>1024.8</v>
      </c>
      <c r="D120" s="86">
        <f>80.5+0.2+38.8+80.5+0.8+10+10.3</f>
        <v>221.10000000000002</v>
      </c>
      <c r="E120" s="87">
        <f>D120/D108*100</f>
        <v>0.22145033442906686</v>
      </c>
      <c r="F120" s="87">
        <f t="shared" si="15"/>
        <v>72.80210734277249</v>
      </c>
      <c r="G120" s="87">
        <f t="shared" si="12"/>
        <v>21.574941451990636</v>
      </c>
      <c r="H120" s="88">
        <f t="shared" si="16"/>
        <v>82.59999999999997</v>
      </c>
      <c r="I120" s="88">
        <f t="shared" si="14"/>
        <v>803.6999999999999</v>
      </c>
    </row>
    <row r="121" spans="1:9" s="101" customFormat="1" ht="17.25">
      <c r="A121" s="98" t="s">
        <v>41</v>
      </c>
      <c r="B121" s="91">
        <v>241.6</v>
      </c>
      <c r="C121" s="92">
        <v>724.7</v>
      </c>
      <c r="D121" s="93">
        <f>80.5+80.5</f>
        <v>161</v>
      </c>
      <c r="E121" s="94">
        <f>D121/D120*100</f>
        <v>72.81772953414743</v>
      </c>
      <c r="F121" s="94">
        <f t="shared" si="15"/>
        <v>66.63907284768213</v>
      </c>
      <c r="G121" s="94">
        <f t="shared" si="12"/>
        <v>22.216089416310194</v>
      </c>
      <c r="H121" s="92">
        <f t="shared" si="16"/>
        <v>80.6</v>
      </c>
      <c r="I121" s="92">
        <f t="shared" si="14"/>
        <v>563.7</v>
      </c>
    </row>
    <row r="122" spans="1:9" s="100" customFormat="1" ht="17.25">
      <c r="A122" s="95" t="s">
        <v>102</v>
      </c>
      <c r="B122" s="138">
        <v>40</v>
      </c>
      <c r="C122" s="96">
        <v>347</v>
      </c>
      <c r="D122" s="86"/>
      <c r="E122" s="87">
        <f>D122/D108*100</f>
        <v>0</v>
      </c>
      <c r="F122" s="87">
        <f t="shared" si="15"/>
        <v>0</v>
      </c>
      <c r="G122" s="87">
        <f t="shared" si="12"/>
        <v>0</v>
      </c>
      <c r="H122" s="88">
        <f t="shared" si="16"/>
        <v>40</v>
      </c>
      <c r="I122" s="88">
        <f t="shared" si="14"/>
        <v>347</v>
      </c>
    </row>
    <row r="123" spans="1:9" s="100" customFormat="1" ht="21.75" customHeight="1">
      <c r="A123" s="95" t="s">
        <v>92</v>
      </c>
      <c r="B123" s="138"/>
      <c r="C123" s="96">
        <v>86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6"/>
        <v>0</v>
      </c>
      <c r="I123" s="88">
        <f t="shared" si="14"/>
        <v>86</v>
      </c>
    </row>
    <row r="124" spans="1:9" s="102" customFormat="1" ht="17.25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6"/>
        <v>0</v>
      </c>
      <c r="I124" s="92">
        <f t="shared" si="14"/>
        <v>0</v>
      </c>
    </row>
    <row r="125" spans="1:9" s="102" customFormat="1" ht="17.25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6"/>
        <v>0</v>
      </c>
      <c r="I125" s="92">
        <f t="shared" si="14"/>
        <v>0</v>
      </c>
    </row>
    <row r="126" spans="1:9" s="100" customFormat="1" ht="34.5">
      <c r="A126" s="95" t="s">
        <v>93</v>
      </c>
      <c r="B126" s="138">
        <v>5720.1</v>
      </c>
      <c r="C126" s="96">
        <v>6156.2</v>
      </c>
      <c r="D126" s="97">
        <f>871.9+408.1+585.9+900.5+901.8+879.7+893</f>
        <v>5440.9</v>
      </c>
      <c r="E126" s="99">
        <f>D126/D108*100</f>
        <v>5.449521142447352</v>
      </c>
      <c r="F126" s="87">
        <f t="shared" si="15"/>
        <v>95.11896645163544</v>
      </c>
      <c r="G126" s="87">
        <f t="shared" si="12"/>
        <v>88.38081933660375</v>
      </c>
      <c r="H126" s="88">
        <f t="shared" si="16"/>
        <v>279.2000000000007</v>
      </c>
      <c r="I126" s="88">
        <f t="shared" si="14"/>
        <v>715.3000000000002</v>
      </c>
    </row>
    <row r="127" spans="1:9" s="100" customFormat="1" ht="17.2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6"/>
        <v>0</v>
      </c>
      <c r="I127" s="88">
        <f t="shared" si="14"/>
        <v>0</v>
      </c>
    </row>
    <row r="128" spans="1:13" s="100" customFormat="1" ht="34.5">
      <c r="A128" s="95" t="s">
        <v>98</v>
      </c>
      <c r="B128" s="138">
        <v>198.5</v>
      </c>
      <c r="C128" s="96">
        <v>483</v>
      </c>
      <c r="D128" s="97">
        <v>2.2</v>
      </c>
      <c r="E128" s="99">
        <f>D128/D108*100</f>
        <v>0.002203485914717083</v>
      </c>
      <c r="F128" s="87">
        <f t="shared" si="15"/>
        <v>1.1083123425692696</v>
      </c>
      <c r="G128" s="87">
        <f t="shared" si="12"/>
        <v>0.45548654244306425</v>
      </c>
      <c r="H128" s="88">
        <f t="shared" si="16"/>
        <v>196.3</v>
      </c>
      <c r="I128" s="88">
        <f t="shared" si="14"/>
        <v>480.8</v>
      </c>
      <c r="M128" s="89"/>
    </row>
    <row r="129" spans="1:13" s="100" customFormat="1" ht="34.5">
      <c r="A129" s="95" t="s">
        <v>83</v>
      </c>
      <c r="B129" s="138">
        <v>77.1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6"/>
        <v>77.1</v>
      </c>
      <c r="I129" s="88">
        <f t="shared" si="14"/>
        <v>154.3</v>
      </c>
      <c r="M129" s="89"/>
    </row>
    <row r="130" spans="1:9" s="100" customFormat="1" ht="17.2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6"/>
        <v>0</v>
      </c>
      <c r="I130" s="88">
        <f t="shared" si="14"/>
        <v>0</v>
      </c>
    </row>
    <row r="131" spans="1:13" s="100" customFormat="1" ht="34.5">
      <c r="A131" s="95" t="s">
        <v>55</v>
      </c>
      <c r="B131" s="138">
        <v>207</v>
      </c>
      <c r="C131" s="96">
        <v>1003.9</v>
      </c>
      <c r="D131" s="97">
        <f>7.7+12.9+2.8+0.3+0.9+48+9.2+16+18.7+7</f>
        <v>123.5</v>
      </c>
      <c r="E131" s="99">
        <f>D131/D108*100</f>
        <v>0.12369568657616353</v>
      </c>
      <c r="F131" s="87">
        <f t="shared" si="15"/>
        <v>59.66183574879227</v>
      </c>
      <c r="G131" s="87">
        <f t="shared" si="12"/>
        <v>12.302022113756351</v>
      </c>
      <c r="H131" s="88">
        <f t="shared" si="16"/>
        <v>83.5</v>
      </c>
      <c r="I131" s="88">
        <f t="shared" si="14"/>
        <v>880.4</v>
      </c>
      <c r="M131" s="89"/>
    </row>
    <row r="132" spans="1:13" s="101" customFormat="1" ht="17.25">
      <c r="A132" s="90" t="s">
        <v>86</v>
      </c>
      <c r="B132" s="91">
        <v>78.8</v>
      </c>
      <c r="C132" s="92">
        <v>553.3</v>
      </c>
      <c r="D132" s="93">
        <f>7.7+48+7.7</f>
        <v>63.400000000000006</v>
      </c>
      <c r="E132" s="94">
        <f>D132/D131*100</f>
        <v>51.33603238866398</v>
      </c>
      <c r="F132" s="94">
        <f>D132/B132*100</f>
        <v>80.45685279187819</v>
      </c>
      <c r="G132" s="94">
        <f t="shared" si="12"/>
        <v>11.458521597686609</v>
      </c>
      <c r="H132" s="92">
        <f t="shared" si="16"/>
        <v>15.399999999999991</v>
      </c>
      <c r="I132" s="92">
        <f t="shared" si="14"/>
        <v>489.9</v>
      </c>
      <c r="M132" s="132"/>
    </row>
    <row r="133" spans="1:9" s="100" customFormat="1" ht="34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6"/>
        <v>0</v>
      </c>
      <c r="I133" s="88">
        <f t="shared" si="14"/>
        <v>250</v>
      </c>
    </row>
    <row r="134" spans="1:9" s="101" customFormat="1" ht="17.25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6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6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6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741.3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6"/>
        <v>741.3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38">
        <v>30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6"/>
        <v>30</v>
      </c>
      <c r="I138" s="88">
        <f t="shared" si="14"/>
        <v>350</v>
      </c>
    </row>
    <row r="139" spans="1:9" s="101" customFormat="1" ht="17.25">
      <c r="A139" s="90" t="s">
        <v>86</v>
      </c>
      <c r="B139" s="91">
        <v>10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10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198.9</v>
      </c>
      <c r="C140" s="96">
        <v>642.9</v>
      </c>
      <c r="D140" s="97">
        <f>3.4+29.8+0.5+0.6</f>
        <v>34.300000000000004</v>
      </c>
      <c r="E140" s="99">
        <f>D140/D108*100</f>
        <v>0.03435434857945271</v>
      </c>
      <c r="F140" s="87">
        <f>D140/B140*100</f>
        <v>17.244846656611365</v>
      </c>
      <c r="G140" s="87">
        <f>D140/C140*100</f>
        <v>5.335199875563852</v>
      </c>
      <c r="H140" s="88">
        <f t="shared" si="16"/>
        <v>164.6</v>
      </c>
      <c r="I140" s="88">
        <f t="shared" si="14"/>
        <v>608.6</v>
      </c>
    </row>
    <row r="141" spans="1:9" s="101" customFormat="1" ht="17.25">
      <c r="A141" s="90" t="s">
        <v>23</v>
      </c>
      <c r="B141" s="91">
        <v>168.9</v>
      </c>
      <c r="C141" s="92">
        <v>524.9</v>
      </c>
      <c r="D141" s="93">
        <f>0.4+29.8+0.5+0.6</f>
        <v>31.3</v>
      </c>
      <c r="E141" s="94">
        <f>D141/D140*100</f>
        <v>91.2536443148688</v>
      </c>
      <c r="F141" s="94">
        <f t="shared" si="15"/>
        <v>18.53167554766134</v>
      </c>
      <c r="G141" s="94">
        <f>D141/C141*100</f>
        <v>5.963040579157935</v>
      </c>
      <c r="H141" s="92">
        <f t="shared" si="16"/>
        <v>137.6</v>
      </c>
      <c r="I141" s="92">
        <f t="shared" si="14"/>
        <v>493.59999999999997</v>
      </c>
    </row>
    <row r="142" spans="1:9" s="100" customFormat="1" ht="17.25">
      <c r="A142" s="95" t="s">
        <v>94</v>
      </c>
      <c r="B142" s="138">
        <v>533.8</v>
      </c>
      <c r="C142" s="96">
        <v>2262.8</v>
      </c>
      <c r="D142" s="97">
        <f>33.6+100.1+61.4+1.9+88.9+76.4</f>
        <v>362.29999999999995</v>
      </c>
      <c r="E142" s="99">
        <f>D142/D108*100</f>
        <v>0.36287406677363593</v>
      </c>
      <c r="F142" s="87">
        <f t="shared" si="15"/>
        <v>67.87186212064444</v>
      </c>
      <c r="G142" s="87">
        <f t="shared" si="12"/>
        <v>16.011136644864767</v>
      </c>
      <c r="H142" s="88">
        <f t="shared" si="16"/>
        <v>171.5</v>
      </c>
      <c r="I142" s="88">
        <f t="shared" si="14"/>
        <v>1900.5000000000002</v>
      </c>
    </row>
    <row r="143" spans="1:9" s="101" customFormat="1" ht="17.25">
      <c r="A143" s="98" t="s">
        <v>41</v>
      </c>
      <c r="B143" s="91">
        <v>411</v>
      </c>
      <c r="C143" s="92">
        <v>1867.4</v>
      </c>
      <c r="D143" s="93">
        <f>33.6+99.1+51.9+81.4+59</f>
        <v>325</v>
      </c>
      <c r="E143" s="94">
        <f>D143/D142*100</f>
        <v>89.70466464256143</v>
      </c>
      <c r="F143" s="94">
        <f aca="true" t="shared" si="17" ref="F143:F152">D143/B143*100</f>
        <v>79.07542579075427</v>
      </c>
      <c r="G143" s="94">
        <f t="shared" si="12"/>
        <v>17.40387704830245</v>
      </c>
      <c r="H143" s="92">
        <f t="shared" si="16"/>
        <v>86</v>
      </c>
      <c r="I143" s="92">
        <f t="shared" si="14"/>
        <v>1542.4</v>
      </c>
    </row>
    <row r="144" spans="1:9" s="101" customFormat="1" ht="17.25">
      <c r="A144" s="90" t="s">
        <v>23</v>
      </c>
      <c r="B144" s="91">
        <v>25.2</v>
      </c>
      <c r="C144" s="92">
        <v>48</v>
      </c>
      <c r="D144" s="93">
        <f>9.3+7.4</f>
        <v>16.700000000000003</v>
      </c>
      <c r="E144" s="94">
        <f>D144/D142*100</f>
        <v>4.609439690863926</v>
      </c>
      <c r="F144" s="94">
        <f t="shared" si="17"/>
        <v>66.26984126984128</v>
      </c>
      <c r="G144" s="94">
        <f>D144/C144*100</f>
        <v>34.79166666666667</v>
      </c>
      <c r="H144" s="92">
        <f t="shared" si="16"/>
        <v>8.499999999999996</v>
      </c>
      <c r="I144" s="92">
        <f t="shared" si="14"/>
        <v>31.299999999999997</v>
      </c>
    </row>
    <row r="145" spans="1:9" s="100" customFormat="1" ht="33.75" customHeight="1" hidden="1">
      <c r="A145" s="103" t="s">
        <v>54</v>
      </c>
      <c r="B145" s="138">
        <v>0</v>
      </c>
      <c r="C145" s="96"/>
      <c r="D145" s="97"/>
      <c r="E145" s="99">
        <f>D145/D108*100</f>
        <v>0</v>
      </c>
      <c r="F145" s="87" t="e">
        <f t="shared" si="17"/>
        <v>#DIV/0!</v>
      </c>
      <c r="G145" s="87" t="e">
        <f t="shared" si="12"/>
        <v>#DIV/0!</v>
      </c>
      <c r="H145" s="88">
        <f t="shared" si="16"/>
        <v>0</v>
      </c>
      <c r="I145" s="88">
        <f t="shared" si="14"/>
        <v>0</v>
      </c>
    </row>
    <row r="146" spans="1:9" s="100" customFormat="1" ht="17.2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6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v>28879.4</v>
      </c>
      <c r="C147" s="96">
        <v>148561.8</v>
      </c>
      <c r="D147" s="97">
        <f>457.7+20.2+2395.4+103.8+376.7+1013.1+85.7+519.6+3989.1+192.1+9596.6+54.9+0.1+1136.8+45.8+142.4+633.4+904.4</f>
        <v>21667.800000000003</v>
      </c>
      <c r="E147" s="99">
        <f>D147/D108*100</f>
        <v>21.702132774048554</v>
      </c>
      <c r="F147" s="87">
        <f t="shared" si="17"/>
        <v>75.02856707549327</v>
      </c>
      <c r="G147" s="87">
        <f t="shared" si="12"/>
        <v>14.585041376719996</v>
      </c>
      <c r="H147" s="88">
        <f t="shared" si="16"/>
        <v>7211.5999999999985</v>
      </c>
      <c r="I147" s="88">
        <f t="shared" si="14"/>
        <v>126893.99999999999</v>
      </c>
    </row>
    <row r="148" spans="1:9" s="100" customFormat="1" ht="17.2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7"/>
        <v>#DIV/0!</v>
      </c>
      <c r="G148" s="87" t="e">
        <f t="shared" si="12"/>
        <v>#DIV/0!</v>
      </c>
      <c r="H148" s="88">
        <f t="shared" si="16"/>
        <v>0</v>
      </c>
      <c r="I148" s="88">
        <f t="shared" si="14"/>
        <v>0</v>
      </c>
    </row>
    <row r="149" spans="1:9" s="100" customFormat="1" ht="17.25">
      <c r="A149" s="103" t="s">
        <v>111</v>
      </c>
      <c r="B149" s="138">
        <v>10</v>
      </c>
      <c r="C149" s="96">
        <v>50</v>
      </c>
      <c r="D149" s="97"/>
      <c r="E149" s="99">
        <f>D149/D110*100</f>
        <v>0</v>
      </c>
      <c r="F149" s="87">
        <f>D149/B149*100</f>
        <v>0</v>
      </c>
      <c r="G149" s="87">
        <f>D149/C149*100</f>
        <v>0</v>
      </c>
      <c r="H149" s="88">
        <f>B149-D149</f>
        <v>10</v>
      </c>
      <c r="I149" s="88">
        <f>C149-D149</f>
        <v>50</v>
      </c>
    </row>
    <row r="150" spans="1:9" s="100" customFormat="1" ht="17.2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0.0295467429473427</v>
      </c>
      <c r="F150" s="87">
        <f t="shared" si="17"/>
        <v>100</v>
      </c>
      <c r="G150" s="87">
        <f t="shared" si="12"/>
        <v>31.416400425985085</v>
      </c>
      <c r="H150" s="88">
        <f t="shared" si="16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100+2645</f>
        <v>2745</v>
      </c>
      <c r="C151" s="96">
        <f>509.5+13731.5</f>
        <v>14241</v>
      </c>
      <c r="D151" s="97">
        <f>469.6+898.6+871.8+55</f>
        <v>2295</v>
      </c>
      <c r="E151" s="99">
        <f>D151/D108*100</f>
        <v>2.2986364428525934</v>
      </c>
      <c r="F151" s="87">
        <f t="shared" si="17"/>
        <v>83.60655737704919</v>
      </c>
      <c r="G151" s="87">
        <f t="shared" si="12"/>
        <v>16.11544133136718</v>
      </c>
      <c r="H151" s="88">
        <f t="shared" si="16"/>
        <v>450</v>
      </c>
      <c r="I151" s="88">
        <f t="shared" si="14"/>
        <v>11946</v>
      </c>
    </row>
    <row r="152" spans="1:9" s="100" customFormat="1" ht="19.5" customHeight="1">
      <c r="A152" s="95" t="s">
        <v>48</v>
      </c>
      <c r="B152" s="138">
        <f>76629.4+12</f>
        <v>76641.4</v>
      </c>
      <c r="C152" s="96">
        <f>410786+12</f>
        <v>410798</v>
      </c>
      <c r="D152" s="97">
        <f>9702+30405.7+10266.3+91.6-29196.2+1482.1+9293.3+20631.5+2864.5+2072.8+10611.8+26.4-6447.8-3782.8-4677.3+4676.1-2746.7-2356.3</f>
        <v>52916.99999999998</v>
      </c>
      <c r="E152" s="99">
        <f>D152/D108*100</f>
        <v>53.000847340492655</v>
      </c>
      <c r="F152" s="87">
        <f t="shared" si="17"/>
        <v>69.04492871998681</v>
      </c>
      <c r="G152" s="87">
        <f t="shared" si="12"/>
        <v>12.881513541935446</v>
      </c>
      <c r="H152" s="88">
        <f t="shared" si="16"/>
        <v>23724.400000000016</v>
      </c>
      <c r="I152" s="88">
        <f>C152-D152</f>
        <v>357881</v>
      </c>
    </row>
    <row r="153" spans="1:9" s="100" customFormat="1" ht="17.25">
      <c r="A153" s="95" t="s">
        <v>97</v>
      </c>
      <c r="B153" s="138">
        <v>16981.2</v>
      </c>
      <c r="C153" s="96">
        <v>67925</v>
      </c>
      <c r="D153" s="97">
        <f>1886.8+1886.8+1886.8+1886.8+1886.8+1886.8+1886.8+1886.8</f>
        <v>15094.399999999998</v>
      </c>
      <c r="E153" s="99">
        <f>D153/D108*100</f>
        <v>15.118317177775243</v>
      </c>
      <c r="F153" s="87">
        <f t="shared" si="15"/>
        <v>88.88888888888887</v>
      </c>
      <c r="G153" s="87">
        <f t="shared" si="12"/>
        <v>22.22215679057784</v>
      </c>
      <c r="H153" s="88">
        <f t="shared" si="16"/>
        <v>1886.800000000003</v>
      </c>
      <c r="I153" s="88">
        <f t="shared" si="14"/>
        <v>52830.600000000006</v>
      </c>
    </row>
    <row r="154" spans="1:9" s="2" customFormat="1" ht="18" thickBot="1">
      <c r="A154" s="26" t="s">
        <v>27</v>
      </c>
      <c r="B154" s="139"/>
      <c r="C154" s="59"/>
      <c r="D154" s="40">
        <f>D43+D70+D73+D78+D80+D88+D103+D108+D101+D85+D99</f>
        <v>112248.99999999997</v>
      </c>
      <c r="E154" s="14"/>
      <c r="F154" s="14"/>
      <c r="G154" s="6"/>
      <c r="H154" s="48"/>
      <c r="I154" s="40"/>
    </row>
    <row r="155" spans="1:11" ht="18" thickBot="1">
      <c r="A155" s="11" t="s">
        <v>16</v>
      </c>
      <c r="B155" s="36">
        <f>B6+B18+B33+B43+B52+B60+B70+B73+B78+B80+B88+B91+B96+B103+B108+B101+B85+B99+B46</f>
        <v>607524.2</v>
      </c>
      <c r="C155" s="36">
        <f>C6+C18+C33+C43+C52+C60+C70+C73+C78+C80+C88+C91+C96+C103+C108+C101+C85+C99+C46</f>
        <v>2485478.0000000005</v>
      </c>
      <c r="D155" s="36">
        <f>D6+D18+D33+D43+D52+D60+D70+D73+D78+D80+D88+D91+D96+D103+D108+D101+D85+D99+D46</f>
        <v>441433.39999999997</v>
      </c>
      <c r="E155" s="25">
        <v>100</v>
      </c>
      <c r="F155" s="3">
        <f>D155/B155*100</f>
        <v>72.66103967545655</v>
      </c>
      <c r="G155" s="3">
        <f aca="true" t="shared" si="18" ref="G155:G161">D155/C155*100</f>
        <v>17.760503211052356</v>
      </c>
      <c r="H155" s="36">
        <f>B155-D155</f>
        <v>166090.8</v>
      </c>
      <c r="I155" s="36">
        <f aca="true" t="shared" si="19" ref="I155:I161">C155-D155</f>
        <v>2044044.6000000006</v>
      </c>
      <c r="K155" s="143">
        <f>D155-114199.9-202905.8</f>
        <v>124327.70000000001</v>
      </c>
    </row>
    <row r="156" spans="1:9" ht="17.25">
      <c r="A156" s="15" t="s">
        <v>5</v>
      </c>
      <c r="B156" s="47">
        <f>B8+B20+B34+B53+B61+B92+B116+B121+B47+B143+B134+B104</f>
        <v>240467.70000000004</v>
      </c>
      <c r="C156" s="47">
        <f>C8+C20+C34+C53+C61+C92+C116+C121+C47+C143+C134+C104</f>
        <v>984460.0000000001</v>
      </c>
      <c r="D156" s="47">
        <f>D8+D20+D34+D53+D61+D92+D116+D121+D47+D143+D134+D104</f>
        <v>186825.4</v>
      </c>
      <c r="E156" s="6">
        <f>D156/D155*100</f>
        <v>42.322443204342946</v>
      </c>
      <c r="F156" s="6">
        <f aca="true" t="shared" si="20" ref="F156:F161">D156/B156*100</f>
        <v>77.69251338121501</v>
      </c>
      <c r="G156" s="6">
        <f t="shared" si="18"/>
        <v>18.977449566259672</v>
      </c>
      <c r="H156" s="48">
        <f aca="true" t="shared" si="21" ref="H156:H161">B156-D156</f>
        <v>53642.30000000005</v>
      </c>
      <c r="I156" s="58">
        <f t="shared" si="19"/>
        <v>797634.6000000001</v>
      </c>
    </row>
    <row r="157" spans="1:9" ht="17.25">
      <c r="A157" s="15" t="s">
        <v>0</v>
      </c>
      <c r="B157" s="88">
        <f>B11+B23+B36+B56+B63+B93+B50+B144+B110+B113+B97+B141+B130</f>
        <v>59922.1</v>
      </c>
      <c r="C157" s="88">
        <f>C11+C23+C36+C56+C63+C93+C50+C144+C110+C113+C97+C141+C130</f>
        <v>125178.8</v>
      </c>
      <c r="D157" s="88">
        <f>D11+D23+D36+D56+D63+D93+D50+D144+D110+D113+D97+D141+D130</f>
        <v>37256.799999999996</v>
      </c>
      <c r="E157" s="6">
        <f>D157/D155*100</f>
        <v>8.43995945934313</v>
      </c>
      <c r="F157" s="6">
        <f t="shared" si="20"/>
        <v>62.1753910493791</v>
      </c>
      <c r="G157" s="6">
        <f t="shared" si="18"/>
        <v>29.762867194764603</v>
      </c>
      <c r="H157" s="48">
        <f>B157-D157</f>
        <v>22665.300000000003</v>
      </c>
      <c r="I157" s="58">
        <f t="shared" si="19"/>
        <v>87922</v>
      </c>
    </row>
    <row r="158" spans="1:9" ht="17.25">
      <c r="A158" s="15" t="s">
        <v>1</v>
      </c>
      <c r="B158" s="149">
        <f>B22+B10+B55+B49+B62+B35+B125</f>
        <v>14738.9</v>
      </c>
      <c r="C158" s="149">
        <f>C22+C10+C55+C49+C62+C35+C125</f>
        <v>48385.3</v>
      </c>
      <c r="D158" s="149">
        <f>D22+D10+D55+D49+D62+D35+D125</f>
        <v>10883.399999999998</v>
      </c>
      <c r="E158" s="6">
        <f>D158/D155*100</f>
        <v>2.4654681770794866</v>
      </c>
      <c r="F158" s="6">
        <f t="shared" si="20"/>
        <v>73.84133144264496</v>
      </c>
      <c r="G158" s="6">
        <f t="shared" si="18"/>
        <v>22.493195247316844</v>
      </c>
      <c r="H158" s="48">
        <f t="shared" si="21"/>
        <v>3855.500000000002</v>
      </c>
      <c r="I158" s="58">
        <f t="shared" si="19"/>
        <v>37501.90000000001</v>
      </c>
    </row>
    <row r="159" spans="1:9" ht="21" customHeight="1">
      <c r="A159" s="15" t="s">
        <v>12</v>
      </c>
      <c r="B159" s="149">
        <f>B12+B24+B105+B64+B38+B94+B132+B57+B139+B119+B44</f>
        <v>18648.8</v>
      </c>
      <c r="C159" s="149">
        <f>C12+C24+C105+C64+C38+C94+C132+C57+C139+C119+C44</f>
        <v>90012.5</v>
      </c>
      <c r="D159" s="149">
        <f>D12+D24+D105+D64+D38+D94+D132+D57+D139+D119+D44</f>
        <v>15439.8</v>
      </c>
      <c r="E159" s="6">
        <f>D159/D155*100</f>
        <v>3.4976510612925984</v>
      </c>
      <c r="F159" s="6">
        <f t="shared" si="20"/>
        <v>82.79245849598902</v>
      </c>
      <c r="G159" s="6">
        <f t="shared" si="18"/>
        <v>17.15295097903069</v>
      </c>
      <c r="H159" s="48">
        <f>B159-D159</f>
        <v>3209</v>
      </c>
      <c r="I159" s="58">
        <f t="shared" si="19"/>
        <v>74572.7</v>
      </c>
    </row>
    <row r="160" spans="1:9" ht="17.2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17.5</v>
      </c>
      <c r="E160" s="6">
        <f>D160/D155*100</f>
        <v>0.003964357930324258</v>
      </c>
      <c r="F160" s="6">
        <f t="shared" si="20"/>
        <v>33.26996197718631</v>
      </c>
      <c r="G160" s="6">
        <f t="shared" si="18"/>
        <v>14.239218877135881</v>
      </c>
      <c r="H160" s="48">
        <f t="shared" si="21"/>
        <v>35.1</v>
      </c>
      <c r="I160" s="58">
        <f t="shared" si="19"/>
        <v>105.4</v>
      </c>
    </row>
    <row r="161" spans="1:9" ht="18" thickBot="1">
      <c r="A161" s="80" t="s">
        <v>25</v>
      </c>
      <c r="B161" s="60">
        <f>B155-B156-B157-B158-B159-B160</f>
        <v>273694.0999999999</v>
      </c>
      <c r="C161" s="60">
        <f>C155-C156-C157-C158-C159-C160</f>
        <v>1237318.5000000005</v>
      </c>
      <c r="D161" s="60">
        <f>D155-D156-D157-D158-D159-D160</f>
        <v>191010.5</v>
      </c>
      <c r="E161" s="28">
        <f>D161/D155*100</f>
        <v>43.270513740011516</v>
      </c>
      <c r="F161" s="28">
        <f t="shared" si="20"/>
        <v>69.78977625020052</v>
      </c>
      <c r="G161" s="28">
        <f t="shared" si="18"/>
        <v>15.437456079416895</v>
      </c>
      <c r="H161" s="81">
        <f t="shared" si="21"/>
        <v>82683.59999999992</v>
      </c>
      <c r="I161" s="81">
        <f t="shared" si="19"/>
        <v>1046308.0000000005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фінансування'!C155</f>
        <v>2485478.0000000005</v>
      </c>
    </row>
    <row r="2" spans="1:5" ht="15">
      <c r="A2" s="4"/>
      <c r="B2" s="4"/>
      <c r="C2" s="4"/>
      <c r="D2" s="4" t="s">
        <v>29</v>
      </c>
      <c r="E2" s="5">
        <f>'аналіз фінансування'!D155</f>
        <v>441433.39999999997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фінансування'!C155</f>
        <v>2485478.0000000005</v>
      </c>
    </row>
    <row r="2" spans="1:5" ht="15">
      <c r="A2" s="4"/>
      <c r="B2" s="4"/>
      <c r="C2" s="4"/>
      <c r="D2" s="4" t="s">
        <v>29</v>
      </c>
      <c r="E2" s="5">
        <f>'аналіз фінансування'!D155</f>
        <v>441433.39999999997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2019-03-15T13:54:54Z</cp:lastPrinted>
  <dcterms:created xsi:type="dcterms:W3CDTF">2000-06-20T04:48:00Z</dcterms:created>
  <dcterms:modified xsi:type="dcterms:W3CDTF">2019-03-22T12:14:42Z</dcterms:modified>
  <cp:category/>
  <cp:version/>
  <cp:contentType/>
  <cp:contentStatus/>
</cp:coreProperties>
</file>